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workbookProtection lockStructure="1"/>
  <bookViews>
    <workbookView showSheetTabs="0" xWindow="32767" yWindow="32767" windowWidth="21600" windowHeight="11000" tabRatio="467" activeTab="0"/>
  </bookViews>
  <sheets>
    <sheet name="Simulador" sheetId="1" r:id="rId1"/>
    <sheet name="Tabla de amortizacion" sheetId="2" r:id="rId2"/>
    <sheet name="Carat_cont" sheetId="3" r:id="rId3"/>
    <sheet name="RECAS" sheetId="4" r:id="rId4"/>
    <sheet name="Pol" sheetId="5" state="hidden" r:id="rId5"/>
  </sheets>
  <definedNames>
    <definedName name="_xlfn.IFERROR" hidden="1">#NAME?</definedName>
    <definedName name="_xlfn.SINGLE" hidden="1">#NAME?</definedName>
    <definedName name="_xlnm.Print_Area" localSheetId="2">'Carat_cont'!$A$1:$D$45</definedName>
    <definedName name="_xlnm.Print_Area" localSheetId="0">'Simulador'!$B$2:$Q$58</definedName>
    <definedName name="_xlnm.Print_Area" localSheetId="1">'Tabla de amortizacion'!$A$1:$AB$256</definedName>
    <definedName name="_xlnm.Print_Titles" localSheetId="1">'Tabla de amortizacion'!$1:$14</definedName>
  </definedNames>
  <calcPr fullCalcOnLoad="1"/>
</workbook>
</file>

<file path=xl/comments1.xml><?xml version="1.0" encoding="utf-8"?>
<comments xmlns="http://schemas.openxmlformats.org/spreadsheetml/2006/main">
  <authors>
    <author>Efrain Guti?rrez GK</author>
    <author>MENDOZA ALEVARIO, ALEJANDRO</author>
  </authors>
  <commentList>
    <comment ref="N28" authorId="0">
      <text>
        <r>
          <rPr>
            <sz val="8"/>
            <rFont val="Tahoma"/>
            <family val="2"/>
          </rPr>
          <t xml:space="preserve">Si no se especifica un porcentaje, por default se calcula con un 5%
</t>
        </r>
      </text>
    </comment>
    <comment ref="N29" authorId="0">
      <text>
        <r>
          <rPr>
            <sz val="8"/>
            <rFont val="Tahoma"/>
            <family val="2"/>
          </rPr>
          <t xml:space="preserve">Si no se especifica un porcentaje, por default se calcula con un 5%
</t>
        </r>
      </text>
    </comment>
    <comment ref="M28" authorId="0">
      <text>
        <r>
          <rPr>
            <sz val="8"/>
            <rFont val="Tahoma"/>
            <family val="2"/>
          </rPr>
          <t xml:space="preserve">Si se conoce el porcentaje, introducir el dato
</t>
        </r>
      </text>
    </comment>
    <comment ref="M29" authorId="0">
      <text>
        <r>
          <rPr>
            <sz val="8"/>
            <rFont val="Tahoma"/>
            <family val="2"/>
          </rPr>
          <t>Si se conoce el porcentaje, introducir el dato</t>
        </r>
      </text>
    </comment>
    <comment ref="W33" authorId="1">
      <text>
        <r>
          <rPr>
            <b/>
            <sz val="9"/>
            <rFont val="Tahoma"/>
            <family val="2"/>
          </rPr>
          <t>3%</t>
        </r>
      </text>
    </comment>
    <comment ref="W36" authorId="1">
      <text>
        <r>
          <rPr>
            <b/>
            <sz val="9"/>
            <rFont val="Tahoma"/>
            <family val="2"/>
          </rPr>
          <t>3%</t>
        </r>
      </text>
    </comment>
    <comment ref="AB36" authorId="1">
      <text>
        <r>
          <rPr>
            <sz val="9"/>
            <rFont val="Tahoma"/>
            <family val="2"/>
          </rPr>
          <t>Ant $400,000</t>
        </r>
      </text>
    </comment>
    <comment ref="Z36" authorId="1">
      <text>
        <r>
          <rPr>
            <sz val="9"/>
            <rFont val="Tahoma"/>
            <family val="2"/>
          </rPr>
          <t>Ant $250,000</t>
        </r>
      </text>
    </comment>
    <comment ref="W37" authorId="1">
      <text>
        <r>
          <rPr>
            <b/>
            <sz val="9"/>
            <rFont val="Tahoma"/>
            <family val="2"/>
          </rPr>
          <t>3%</t>
        </r>
      </text>
    </comment>
    <comment ref="AB37" authorId="1">
      <text>
        <r>
          <rPr>
            <sz val="9"/>
            <rFont val="Tahoma"/>
            <family val="2"/>
          </rPr>
          <t>Ant $400,000</t>
        </r>
      </text>
    </comment>
    <comment ref="W38" authorId="1">
      <text>
        <r>
          <rPr>
            <b/>
            <sz val="9"/>
            <rFont val="Tahoma"/>
            <family val="2"/>
          </rPr>
          <t>3%</t>
        </r>
      </text>
    </comment>
    <comment ref="T114" authorId="1">
      <text>
        <r>
          <rPr>
            <b/>
            <sz val="9"/>
            <rFont val="Tahoma"/>
            <family val="2"/>
          </rPr>
          <t>El costo del Avalúo debe cotizarse con el área de avalúos</t>
        </r>
      </text>
    </comment>
    <comment ref="U114" authorId="1">
      <text>
        <r>
          <rPr>
            <b/>
            <sz val="9"/>
            <rFont val="Tahoma"/>
            <family val="2"/>
          </rPr>
          <t>El costo del Avalúo debe cotizarse con el área de avalúos</t>
        </r>
      </text>
    </comment>
    <comment ref="V114" authorId="1">
      <text>
        <r>
          <rPr>
            <b/>
            <sz val="9"/>
            <rFont val="Tahoma"/>
            <family val="2"/>
          </rPr>
          <t>El costo del Avalúo debe cotizarse con el área de avalúos</t>
        </r>
      </text>
    </comment>
    <comment ref="Z37" authorId="1">
      <text>
        <r>
          <rPr>
            <sz val="9"/>
            <rFont val="Tahoma"/>
            <family val="2"/>
          </rPr>
          <t>Ant $250,000</t>
        </r>
      </text>
    </comment>
  </commentList>
</comments>
</file>

<file path=xl/comments2.xml><?xml version="1.0" encoding="utf-8"?>
<comments xmlns="http://schemas.openxmlformats.org/spreadsheetml/2006/main">
  <authors>
    <author>FGONZALEZC</author>
    <author>MENDOZA ALEVARIO, ALEJANDRO</author>
  </authors>
  <commentList>
    <comment ref="AC14" authorId="0">
      <text>
        <r>
          <rPr>
            <b/>
            <sz val="8"/>
            <rFont val="Tahoma"/>
            <family val="2"/>
          </rPr>
          <t>teclea la tasa TIIE en esta columna.</t>
        </r>
      </text>
    </comment>
    <comment ref="AF3" authorId="1">
      <text>
        <r>
          <rPr>
            <sz val="9"/>
            <rFont val="Tahoma"/>
            <family val="2"/>
          </rPr>
          <t>No borrar el número 2, el cual sirve para respetar el plazo pactado del crédito</t>
        </r>
      </text>
    </comment>
  </commentList>
</comments>
</file>

<file path=xl/comments4.xml><?xml version="1.0" encoding="utf-8"?>
<comments xmlns="http://schemas.openxmlformats.org/spreadsheetml/2006/main">
  <authors>
    <author>Mendoza Alevario, Alejandro</author>
  </authors>
  <commentList>
    <comment ref="G2" authorId="0">
      <text>
        <r>
          <rPr>
            <sz val="8"/>
            <rFont val="Tahoma"/>
            <family val="2"/>
          </rPr>
          <t>Valora = 1
Pagos Oportunos = 2</t>
        </r>
      </text>
    </comment>
    <comment ref="H2" authorId="0">
      <text>
        <r>
          <rPr>
            <sz val="8"/>
            <rFont val="Tahoma"/>
            <family val="2"/>
          </rPr>
          <t>Individual = 1
Mancomunado = 2</t>
        </r>
      </text>
    </comment>
  </commentList>
</comments>
</file>

<file path=xl/sharedStrings.xml><?xml version="1.0" encoding="utf-8"?>
<sst xmlns="http://schemas.openxmlformats.org/spreadsheetml/2006/main" count="449" uniqueCount="360">
  <si>
    <t>Avalúo</t>
  </si>
  <si>
    <t>Mayor a</t>
  </si>
  <si>
    <t>Hasta a</t>
  </si>
  <si>
    <t>Importe</t>
  </si>
  <si>
    <t>Observaciones:</t>
  </si>
  <si>
    <t>Plazo</t>
  </si>
  <si>
    <t>Saldo Inicial</t>
  </si>
  <si>
    <t>Erogación</t>
  </si>
  <si>
    <t>Interés</t>
  </si>
  <si>
    <t>Amortización</t>
  </si>
  <si>
    <t>Saldo Final</t>
  </si>
  <si>
    <t>Pago Mensual</t>
  </si>
  <si>
    <t>Inc. Pago</t>
  </si>
  <si>
    <t>Escoja la opción de su interés:</t>
  </si>
  <si>
    <t>Comisión por apertura</t>
  </si>
  <si>
    <t>Tasa aplicada</t>
  </si>
  <si>
    <t>Observaciones</t>
  </si>
  <si>
    <t>Comisión por prepagos</t>
  </si>
  <si>
    <t>Prepagos a capital</t>
  </si>
  <si>
    <t>Período</t>
  </si>
  <si>
    <t>Por Ingresos</t>
  </si>
  <si>
    <t>Por Valor del Inmueble</t>
  </si>
  <si>
    <t>Seguro de vida</t>
  </si>
  <si>
    <t>Seguro de daños</t>
  </si>
  <si>
    <r>
      <t xml:space="preserve">-  En caso de que aplique, la comisión por pagos anticipados </t>
    </r>
    <r>
      <rPr>
        <b/>
        <sz val="8"/>
        <rFont val="Arial"/>
        <family val="2"/>
      </rPr>
      <t>causa I.V.A.</t>
    </r>
  </si>
  <si>
    <t xml:space="preserve">FINANCIAMIENTO RESIDENCIAL SCOTIABANK </t>
  </si>
  <si>
    <t>- Esta cotización tiene carácter informativo, Scotiabank se reserva el derecho de cambiar cualquier condición sin previo aviso.</t>
  </si>
  <si>
    <t>- Este documento NO implica que el crédito ha sido autorizado, ni establece obligación alguna para Scotiabank.</t>
  </si>
  <si>
    <t>FINANCIAMIENTO RESIDENCIAL SCOTIABANK</t>
  </si>
  <si>
    <t>TABLA DE AMORTIZACION</t>
  </si>
  <si>
    <t>- En caso de que aplique la comisión por prepagos causa IVA y en la corrida ya lo incluye</t>
  </si>
  <si>
    <t>10 años</t>
  </si>
  <si>
    <t>LTV</t>
  </si>
  <si>
    <t>Año</t>
  </si>
  <si>
    <t>-  El crédito solicitado dependerá de la capacidad de pago de cada cliente</t>
  </si>
  <si>
    <t>Corrida para CAT</t>
  </si>
  <si>
    <t>Total</t>
  </si>
  <si>
    <t>TIR</t>
  </si>
  <si>
    <t>Tasa</t>
  </si>
  <si>
    <t>Intereses</t>
  </si>
  <si>
    <t>Techo</t>
  </si>
  <si>
    <t>"Para fines informativos de comparación exclusivamente sin IVA"</t>
  </si>
  <si>
    <t>años</t>
  </si>
  <si>
    <t>meses</t>
  </si>
  <si>
    <t>El crédito se liquida</t>
  </si>
  <si>
    <t>Años</t>
  </si>
  <si>
    <t>Meses</t>
  </si>
  <si>
    <t>por pago puntual en:</t>
  </si>
  <si>
    <t>factor de pago Valora</t>
  </si>
  <si>
    <t>Valora</t>
  </si>
  <si>
    <t xml:space="preserve">    del solicitante y del inmueble objeto de la operación.</t>
  </si>
  <si>
    <t>Adquisición Tradicional</t>
  </si>
  <si>
    <t>Adquisición con Apoyo Infonavit</t>
  </si>
  <si>
    <t>Cofinavit</t>
  </si>
  <si>
    <t>Como desea hacer su cálculo</t>
  </si>
  <si>
    <t>Por Importe de Crédito</t>
  </si>
  <si>
    <t>Pagos Oportunos</t>
  </si>
  <si>
    <t>Detalle</t>
  </si>
  <si>
    <t>Producto</t>
  </si>
  <si>
    <t>% de financiamiento</t>
  </si>
  <si>
    <t>Recursos</t>
  </si>
  <si>
    <t>Gastos de Originación</t>
  </si>
  <si>
    <t>Valor de vivienda</t>
  </si>
  <si>
    <t>Ingresos</t>
  </si>
  <si>
    <t xml:space="preserve">Valor de vivienda </t>
  </si>
  <si>
    <t>Costo Avalúo</t>
  </si>
  <si>
    <t>CALCULO DE LA PORCION A CON BASE EN EL SSV REMANENTE</t>
  </si>
  <si>
    <t>SSV INFONAVIT</t>
  </si>
  <si>
    <t>Uso de la SSV</t>
  </si>
  <si>
    <t>Proyección de Anualidades Garantizadas</t>
  </si>
  <si>
    <t>SSV Total</t>
  </si>
  <si>
    <t>Tasa SSV Proyectar</t>
  </si>
  <si>
    <t>SSV al frente</t>
  </si>
  <si>
    <t>SSV Remanente</t>
  </si>
  <si>
    <t>Tasa Efectiva</t>
  </si>
  <si>
    <t>Anualidad Garantizada</t>
  </si>
  <si>
    <t>Calculo del Valor Presente de las Anualidades Garantizadas</t>
  </si>
  <si>
    <t>Factor de Descuento</t>
  </si>
  <si>
    <t>Valor Presente de la Anualidad</t>
  </si>
  <si>
    <t>SCOTIABANK</t>
  </si>
  <si>
    <t>Crédito SBI Porción A</t>
  </si>
  <si>
    <t>Proyección del Pago de la Porción A del Crédito SBI</t>
  </si>
  <si>
    <t>Tasa Interés Porción A</t>
  </si>
  <si>
    <t>Tasa Descuento</t>
  </si>
  <si>
    <t>VP Anualidades</t>
  </si>
  <si>
    <t>Anualidad</t>
  </si>
  <si>
    <t>Relación VP vs SSV</t>
  </si>
  <si>
    <t>Valor del inmueble</t>
  </si>
  <si>
    <t>Gastos relacionados</t>
  </si>
  <si>
    <t>%Cred Infonavit</t>
  </si>
  <si>
    <t>%CB</t>
  </si>
  <si>
    <t>Cred. Banco aforo máximo</t>
  </si>
  <si>
    <t>%ajustes</t>
  </si>
  <si>
    <t>Mensualidad</t>
  </si>
  <si>
    <t>Ingreso mínimo</t>
  </si>
  <si>
    <t>Incremento anual</t>
  </si>
  <si>
    <t>Pago al millar $</t>
  </si>
  <si>
    <t>Programa</t>
  </si>
  <si>
    <t>Aportación Bimestral (Apoyo Inf)</t>
  </si>
  <si>
    <t>Tipo de comisión</t>
  </si>
  <si>
    <t>Apertura</t>
  </si>
  <si>
    <t>CAT</t>
  </si>
  <si>
    <t>Pasivo Hipotecario</t>
  </si>
  <si>
    <t>Nombre del Ejecutivo Especializado</t>
  </si>
  <si>
    <t>Teléfonos</t>
  </si>
  <si>
    <t>Ingresos min.</t>
  </si>
  <si>
    <t>Liquidez</t>
  </si>
  <si>
    <t>Monto min.</t>
  </si>
  <si>
    <t>Monto max</t>
  </si>
  <si>
    <t>Valor min. viv.</t>
  </si>
  <si>
    <t>Valor de vivienda debajo del mínimo</t>
  </si>
  <si>
    <t>COMISION</t>
  </si>
  <si>
    <t>AVALUO</t>
  </si>
  <si>
    <t>Selección</t>
  </si>
  <si>
    <t>CALCULO</t>
  </si>
  <si>
    <t>Tasas</t>
  </si>
  <si>
    <t>PTI</t>
  </si>
  <si>
    <t>Por Valor Inmueble</t>
  </si>
  <si>
    <t>Cred. max</t>
  </si>
  <si>
    <t>.</t>
  </si>
  <si>
    <t>Cred. máximo</t>
  </si>
  <si>
    <t>Gastos de originación</t>
  </si>
  <si>
    <t>Inversión cliente</t>
  </si>
  <si>
    <t>Crédito fuera de rango</t>
  </si>
  <si>
    <t>Honorarios notariales</t>
  </si>
  <si>
    <t>Crédito solicitado</t>
  </si>
  <si>
    <t>Ingresos menores al mínimo</t>
  </si>
  <si>
    <t>Com Apert</t>
  </si>
  <si>
    <t>Coms. prepago</t>
  </si>
  <si>
    <t>Crédito máximo disponible</t>
  </si>
  <si>
    <t>Nombre del Cliente</t>
  </si>
  <si>
    <t>Sucursal</t>
  </si>
  <si>
    <t>Crédito Máximo posible</t>
  </si>
  <si>
    <t>Cálculo de ingresos mínimpos por plazo</t>
  </si>
  <si>
    <t>Parámetros de crédito</t>
  </si>
  <si>
    <t>Enganche mínimo</t>
  </si>
  <si>
    <t>Crédito minimo</t>
  </si>
  <si>
    <t>Valor mínimo inmueble</t>
  </si>
  <si>
    <t>Por Crédito solicitado</t>
  </si>
  <si>
    <t>Tipo de Crédito</t>
  </si>
  <si>
    <t>Seguros</t>
  </si>
  <si>
    <t>Vida</t>
  </si>
  <si>
    <t>Daños</t>
  </si>
  <si>
    <t>CALCULO PARA EL IMPORTE MAXIMO DE APORTACION PATRONAL</t>
  </si>
  <si>
    <t>Tope de aportación patronal</t>
  </si>
  <si>
    <t>Aportación Patronal 5%</t>
  </si>
  <si>
    <t>No. de días del bimestre (promedio 60 días)</t>
  </si>
  <si>
    <t>Aportación Patronal bimestral</t>
  </si>
  <si>
    <r>
      <t>Tipo de Crédito: Crédito Hipotecario</t>
    </r>
    <r>
      <rPr>
        <sz val="8"/>
        <rFont val="Verdana"/>
        <family val="2"/>
      </rPr>
      <t xml:space="preserve"> </t>
    </r>
  </si>
  <si>
    <t>(Costo Anual Total)</t>
  </si>
  <si>
    <t>TASA DE INTERES</t>
  </si>
  <si>
    <t>MONTO O LINEA DE</t>
  </si>
  <si>
    <t>CRÉDITO</t>
  </si>
  <si>
    <t>Sin IVA</t>
  </si>
  <si>
    <t>Para fines</t>
  </si>
  <si>
    <t>informativos y de</t>
  </si>
  <si>
    <t>comparación</t>
  </si>
  <si>
    <t>Moneda en</t>
  </si>
  <si>
    <t>Pesos</t>
  </si>
  <si>
    <t xml:space="preserve">Mexicanos </t>
  </si>
  <si>
    <t>PLAZO DEL CRÉDITO:</t>
  </si>
  <si>
    <t>COMISIONES RELEVANTES</t>
  </si>
  <si>
    <t>ADVERTENCIAS</t>
  </si>
  <si>
    <t>SEGUROS</t>
  </si>
  <si>
    <t>Seguros Obligatorios:</t>
  </si>
  <si>
    <t>Aseguradora:</t>
  </si>
  <si>
    <t>Cláusulas:</t>
  </si>
  <si>
    <t>ESTADO DE CUENTA</t>
  </si>
  <si>
    <t>Aclaraciones y reclamaciones:</t>
  </si>
  <si>
    <t>Unidad Especializada de Aclaraciones:</t>
  </si>
  <si>
    <t>Domicilio: Río Usumacinta S/N, esq. con Fernando Montes de Oca, Col. La Presita, Municipio de Cuautitlán Izcalli, Estado de México, C.P. 54763</t>
  </si>
  <si>
    <t>Teléfono: (55) 5123 0990</t>
  </si>
  <si>
    <t>Correo electrónico: une@scotiabank.com.mx</t>
  </si>
  <si>
    <t xml:space="preserve">Página de Internet: www.scotiabank.com.mx </t>
  </si>
  <si>
    <t>Comisión Nacional para la Protección y Defensa de los Usuarios de Servicios Financieros (CONDUSEF):</t>
  </si>
  <si>
    <t>CREDIRESIDENCIAL</t>
  </si>
  <si>
    <t>CREDILIQUIDEZ</t>
  </si>
  <si>
    <r>
      <t>Nombre comercial del producto:</t>
    </r>
    <r>
      <rPr>
        <sz val="8"/>
        <rFont val="Verdana"/>
        <family val="2"/>
      </rPr>
      <t> </t>
    </r>
  </si>
  <si>
    <t>Valor Destructible</t>
  </si>
  <si>
    <t>Comisión Manual por Apertura</t>
  </si>
  <si>
    <t>No.</t>
  </si>
  <si>
    <t>Nombre</t>
  </si>
  <si>
    <t>RECA</t>
  </si>
  <si>
    <t>Fecha de expedición</t>
  </si>
  <si>
    <t>Mancomunado</t>
  </si>
  <si>
    <t>Clave</t>
  </si>
  <si>
    <t>Esquema</t>
  </si>
  <si>
    <t>Tipo Crédito</t>
  </si>
  <si>
    <t>El Aforo estará alineado al producto que se desee adquirir vs Índice de Riesgo, acorde a lo siguiente:</t>
  </si>
  <si>
    <t>IR</t>
  </si>
  <si>
    <t>AFORO</t>
  </si>
  <si>
    <t>Adquisición (1)</t>
  </si>
  <si>
    <t>Liquidez Vivienda Terrenos</t>
  </si>
  <si>
    <t xml:space="preserve">Construcción / Renovación II, III y IV </t>
  </si>
  <si>
    <t>Renovación I</t>
  </si>
  <si>
    <t xml:space="preserve">Empleados </t>
  </si>
  <si>
    <t>con apoyo</t>
  </si>
  <si>
    <t>sin apoyo</t>
  </si>
  <si>
    <t>Independientes</t>
  </si>
  <si>
    <t>Vivienda</t>
  </si>
  <si>
    <t>Descanso</t>
  </si>
  <si>
    <r>
      <t xml:space="preserve">Hasta el </t>
    </r>
    <r>
      <rPr>
        <b/>
        <sz val="10"/>
        <rFont val="Arial"/>
        <family val="2"/>
      </rPr>
      <t>50%</t>
    </r>
    <r>
      <rPr>
        <sz val="10"/>
        <rFont val="Arial"/>
        <family val="2"/>
      </rPr>
      <t xml:space="preserve"> de acuerdo al valor del avalúo de la garantía. </t>
    </r>
  </si>
  <si>
    <r>
      <t xml:space="preserve">Hasta el </t>
    </r>
    <r>
      <rPr>
        <b/>
        <sz val="10"/>
        <rFont val="Arial"/>
        <family val="2"/>
      </rPr>
      <t xml:space="preserve">70% </t>
    </r>
    <r>
      <rPr>
        <sz val="10"/>
        <rFont val="Arial"/>
        <family val="2"/>
      </rPr>
      <t>del valor proyectado de la vivienda o el 100% del valor de construcción, el menor</t>
    </r>
  </si>
  <si>
    <r>
      <t xml:space="preserve">Hasta el </t>
    </r>
    <r>
      <rPr>
        <b/>
        <sz val="10"/>
        <rFont val="Arial"/>
        <family val="2"/>
      </rPr>
      <t>70%</t>
    </r>
    <r>
      <rPr>
        <sz val="10"/>
        <rFont val="Arial"/>
        <family val="2"/>
      </rPr>
      <t xml:space="preserve"> de acuerdo al valor del avalúo de la garantía.</t>
    </r>
  </si>
  <si>
    <t>C) AFORO PARA CRÉDITOS QUE EXCEDAN EL MONTO A FINANCIAR POR POLÍTICA (APARTADO A.7):</t>
  </si>
  <si>
    <t>Para créditos que superen el límite máximo establecido en el apartado A.7 de la presente política, el Aforo máximo está en función del importe del crédito, como se indica a continuación:</t>
  </si>
  <si>
    <t>Monto del crédito</t>
  </si>
  <si>
    <t>Mayor a $5 MDP Menor a $6.5 MDP</t>
  </si>
  <si>
    <t>Mayor a $ 6.5 MDP</t>
  </si>
  <si>
    <t>IR / Subproducto</t>
  </si>
  <si>
    <t>Adquisición</t>
  </si>
  <si>
    <t>Liquidez/Construcción/ Credirenovación</t>
  </si>
  <si>
    <t>D) REGLAS PARA OBTENER EL % DE AFORO A FINANCIAR</t>
  </si>
  <si>
    <t xml:space="preserve">Regla </t>
  </si>
  <si>
    <t xml:space="preserve">Adquisición de vivienda </t>
  </si>
  <si>
    <t>Switch Hipotecario (Pago de Pasivos )</t>
  </si>
  <si>
    <t>Preventa</t>
  </si>
  <si>
    <t xml:space="preserve">Construcción </t>
  </si>
  <si>
    <t>CrediRenovación</t>
  </si>
  <si>
    <t>El cliente opta por seguros externos</t>
  </si>
  <si>
    <t xml:space="preserve">SI </t>
  </si>
  <si>
    <t>NO</t>
  </si>
  <si>
    <t>Contratación de Seguros</t>
  </si>
  <si>
    <t>5 años</t>
  </si>
  <si>
    <t>Tasa de interés acorde al plazo</t>
  </si>
  <si>
    <t>Pgo x mil</t>
  </si>
  <si>
    <t>NA</t>
  </si>
  <si>
    <t>Créd. Máx</t>
  </si>
  <si>
    <r>
      <t xml:space="preserve">Monto </t>
    </r>
    <r>
      <rPr>
        <b/>
        <sz val="8"/>
        <rFont val="Arial"/>
        <family val="2"/>
      </rPr>
      <t xml:space="preserve">menor </t>
    </r>
    <r>
      <rPr>
        <sz val="8"/>
        <rFont val="Arial"/>
        <family val="2"/>
      </rPr>
      <t xml:space="preserve">resultante entre el </t>
    </r>
    <r>
      <rPr>
        <b/>
        <sz val="8"/>
        <rFont val="Arial"/>
        <family val="2"/>
      </rPr>
      <t>Avalúo del inmueble vs. el importe de la compra - venta.</t>
    </r>
  </si>
  <si>
    <r>
      <t xml:space="preserve">Monto </t>
    </r>
    <r>
      <rPr>
        <b/>
        <sz val="8"/>
        <rFont val="Arial"/>
        <family val="2"/>
      </rPr>
      <t xml:space="preserve">menor </t>
    </r>
    <r>
      <rPr>
        <sz val="8"/>
        <rFont val="Arial"/>
        <family val="2"/>
      </rPr>
      <t>resultante entre el</t>
    </r>
    <r>
      <rPr>
        <b/>
        <sz val="8"/>
        <rFont val="Arial"/>
        <family val="2"/>
      </rPr>
      <t xml:space="preserve"> Avalúo del inmueble vs. el importe vigente del crédito con la otra institución (Pasivo) </t>
    </r>
    <r>
      <rPr>
        <sz val="8"/>
        <rFont val="Arial"/>
        <family val="2"/>
      </rPr>
      <t xml:space="preserve">más la comisión por apertura fianciable. </t>
    </r>
  </si>
  <si>
    <r>
      <t xml:space="preserve">Se obtiene del </t>
    </r>
    <r>
      <rPr>
        <b/>
        <sz val="8"/>
        <rFont val="Arial"/>
        <family val="2"/>
      </rPr>
      <t>valor proyectado</t>
    </r>
    <r>
      <rPr>
        <sz val="8"/>
        <rFont val="Arial"/>
        <family val="2"/>
      </rPr>
      <t xml:space="preserve"> del inmueble de acuerdo al </t>
    </r>
    <r>
      <rPr>
        <b/>
        <sz val="8"/>
        <rFont val="Arial"/>
        <family val="2"/>
      </rPr>
      <t>dictamen técnico.</t>
    </r>
  </si>
  <si>
    <r>
      <t xml:space="preserve">De acuerdo al </t>
    </r>
    <r>
      <rPr>
        <b/>
        <sz val="8"/>
        <rFont val="Arial"/>
        <family val="2"/>
      </rPr>
      <t>valor del avalúo de la garantía</t>
    </r>
    <r>
      <rPr>
        <sz val="8"/>
        <rFont val="Arial"/>
        <family val="2"/>
      </rPr>
      <t xml:space="preserve"> (casa actual no grabada)</t>
    </r>
  </si>
  <si>
    <r>
      <t>Hasta el 70%</t>
    </r>
    <r>
      <rPr>
        <sz val="8"/>
        <rFont val="Arial"/>
        <family val="2"/>
      </rPr>
      <t xml:space="preserve"> del </t>
    </r>
    <r>
      <rPr>
        <b/>
        <sz val="8"/>
        <rFont val="Arial"/>
        <family val="2"/>
      </rPr>
      <t>valor proyectado</t>
    </r>
    <r>
      <rPr>
        <sz val="8"/>
        <rFont val="Arial"/>
        <family val="2"/>
      </rPr>
      <t xml:space="preserve"> de la vivienda o el 100% del valor de construcción, el menor.</t>
    </r>
  </si>
  <si>
    <r>
      <t>I</t>
    </r>
    <r>
      <rPr>
        <sz val="8"/>
        <rFont val="Arial"/>
        <family val="2"/>
      </rPr>
      <t xml:space="preserve">: </t>
    </r>
    <r>
      <rPr>
        <b/>
        <sz val="8"/>
        <rFont val="Arial"/>
        <family val="2"/>
      </rPr>
      <t>Hasta el 70%</t>
    </r>
    <r>
      <rPr>
        <sz val="8"/>
        <rFont val="Arial"/>
        <family val="2"/>
      </rPr>
      <t xml:space="preserve"> de acuerdo al valor del Avalúo de la garantía. </t>
    </r>
  </si>
  <si>
    <r>
      <t>II, III y IV</t>
    </r>
    <r>
      <rPr>
        <sz val="8"/>
        <rFont val="Arial"/>
        <family val="2"/>
      </rPr>
      <t xml:space="preserve">: </t>
    </r>
    <r>
      <rPr>
        <b/>
        <sz val="8"/>
        <rFont val="Arial"/>
        <family val="2"/>
      </rPr>
      <t>Hasta el 70%</t>
    </r>
    <r>
      <rPr>
        <sz val="8"/>
        <rFont val="Arial"/>
        <family val="2"/>
      </rPr>
      <t xml:space="preserve"> del valor proyectado de la vivienda (valor del avalúo más presupuesto de renovación según dictamen técnico) ó el 100% del valor de construcción, el menor.</t>
    </r>
  </si>
  <si>
    <t>Plazo del crédito (años)</t>
  </si>
  <si>
    <t>Tasa de interés inicial fija (*)</t>
  </si>
  <si>
    <t>Pago por mil inicial</t>
  </si>
  <si>
    <t>Pagos</t>
  </si>
  <si>
    <t>Iguales</t>
  </si>
  <si>
    <t>Revisiones cada 5 años</t>
  </si>
  <si>
    <t>No aplica</t>
  </si>
  <si>
    <t>Si</t>
  </si>
  <si>
    <t>% saldo remanente</t>
  </si>
  <si>
    <t>Periodo 1</t>
  </si>
  <si>
    <t>Periodo 2</t>
  </si>
  <si>
    <t>Periodo 3</t>
  </si>
  <si>
    <t>Periodo 4</t>
  </si>
  <si>
    <t>Incremento Anual</t>
  </si>
  <si>
    <t>Modificación tasa TIIE</t>
  </si>
  <si>
    <t>Que plazo desea</t>
  </si>
  <si>
    <r>
      <t xml:space="preserve">- </t>
    </r>
    <r>
      <rPr>
        <b/>
        <sz val="10"/>
        <rFont val="Arial"/>
        <family val="2"/>
      </rPr>
      <t>CAT</t>
    </r>
    <r>
      <rPr>
        <sz val="10"/>
        <rFont val="Arial"/>
        <family val="2"/>
      </rPr>
      <t xml:space="preserve"> =.</t>
    </r>
  </si>
  <si>
    <t>- El escenario de la tabla de amortización es considerando que siempre se paga el crédito de manera puntual .</t>
  </si>
  <si>
    <t>Informativo</t>
  </si>
  <si>
    <t>Factor p/ TIIE</t>
  </si>
  <si>
    <t>7x5 5 años</t>
  </si>
  <si>
    <t>7x5 10 años</t>
  </si>
  <si>
    <t>7x5</t>
  </si>
  <si>
    <t>Premium/Bca Privada</t>
  </si>
  <si>
    <t>IVA</t>
  </si>
  <si>
    <t>Adquisición Con Apoyo Hipoteca 7 x 5</t>
  </si>
  <si>
    <t>Adquisición Hipoteca 7 x 5</t>
  </si>
  <si>
    <t>Cofinavit Conyugales Hipoteca 7 x 5</t>
  </si>
  <si>
    <t>Cofinavit Hipoteca 7 x 5</t>
  </si>
  <si>
    <t>Pago de Pasivo Hipoteca 7 x 5</t>
  </si>
  <si>
    <t>Switch</t>
  </si>
  <si>
    <t>Scotiabank Inverlat, S.A., Institución de Banca Múltiple, Grupo Financiero Scotiabank Inverlat</t>
  </si>
  <si>
    <t>Al ser tu crédito de tasa variable, los intereses pueden aumentar.</t>
  </si>
  <si>
    <t>Tasa Fija</t>
  </si>
  <si>
    <t>Incremento Anual Apróximado</t>
  </si>
  <si>
    <t>Dias</t>
  </si>
  <si>
    <t>Año actual</t>
  </si>
  <si>
    <t>Mes actual</t>
  </si>
  <si>
    <t>Día actual</t>
  </si>
  <si>
    <t>Dia/corte</t>
  </si>
  <si>
    <t>sumar</t>
  </si>
  <si>
    <t>B.8 Ingresos Mínimos</t>
  </si>
  <si>
    <t>APOYO GUBERNAMENTAL</t>
  </si>
  <si>
    <t>Apoyo INFONAVIT</t>
  </si>
  <si>
    <t>COFINAVIT</t>
  </si>
  <si>
    <t xml:space="preserve">FOVISSSTE </t>
  </si>
  <si>
    <t>(ALIA2 y RESPAL2)</t>
  </si>
  <si>
    <t>Ingreso</t>
  </si>
  <si>
    <t>Mínimo</t>
  </si>
  <si>
    <t>Residencial</t>
  </si>
  <si>
    <t>Construcción</t>
  </si>
  <si>
    <t xml:space="preserve">CrediRenovación </t>
  </si>
  <si>
    <t>I, II, III, IV</t>
  </si>
  <si>
    <t xml:space="preserve">-  Esta cotización tiene carácter informativo, Scotiabank se reserva el derecho de solicitar información adicional y/o restringir parámetros de enganche, monto, plazo o tasa en función de las características específicas </t>
  </si>
  <si>
    <t>Pasivo Hipotecario con Apoyo Infonavit</t>
  </si>
  <si>
    <t>Nombre del Acreditado y/o Coacreditado:</t>
  </si>
  <si>
    <t>Pago de Pasivos Hipoteca 7x5 con Apoyo Infonavit</t>
  </si>
  <si>
    <t xml:space="preserve">Contratar créditos que excedan tu capacidad de pago afecta tu historial crediticio. </t>
  </si>
  <si>
    <t xml:space="preserve">El avalista, obligado solidario o coacreditado responderá como obligado principal por el total del pago frente a la Institución Financiera. </t>
  </si>
  <si>
    <t>A apartir del 05 de abril del 2017</t>
  </si>
  <si>
    <t>Crediliquidez Libre Hipoteca 7X5</t>
  </si>
  <si>
    <t>Liquidez Vivienda</t>
  </si>
  <si>
    <t>Liquidez Vivienda Pagos Oportunos</t>
  </si>
  <si>
    <t>Liquidez Vivienda Valora</t>
  </si>
  <si>
    <t xml:space="preserve">TDSR </t>
  </si>
  <si>
    <t>Valora &amp; Pagos Oportunos</t>
  </si>
  <si>
    <t>(Cualquier tipo de empleo)</t>
  </si>
  <si>
    <t>Liquidez Vivienda, Construcción &amp; Renovación I, II, III &amp; IV</t>
  </si>
  <si>
    <t>Actual</t>
  </si>
  <si>
    <t>Nueva</t>
  </si>
  <si>
    <t>Valora &amp; pagos Oportunos</t>
  </si>
  <si>
    <t>Hipoteca 7x5</t>
  </si>
  <si>
    <t>Construcción &amp; Renovación I, II, III &amp; IV</t>
  </si>
  <si>
    <t>Adquisición/Switch</t>
  </si>
  <si>
    <r>
      <t>(Cualquier tipo de empleo</t>
    </r>
    <r>
      <rPr>
        <sz val="11"/>
        <color indexed="63"/>
        <rFont val="Calibri"/>
        <family val="2"/>
      </rPr>
      <t>)</t>
    </r>
  </si>
  <si>
    <t>Empleados</t>
  </si>
  <si>
    <t xml:space="preserve">Actual </t>
  </si>
  <si>
    <t>ANUAL ORDINARIA</t>
  </si>
  <si>
    <t>Fecha Corte/ Emisión Recibo 1</t>
  </si>
  <si>
    <t xml:space="preserve">Carátula de Crédito </t>
  </si>
  <si>
    <t>MONTO TOTAL A PAGAR O</t>
  </si>
  <si>
    <t>MINIMO A PAGAR</t>
  </si>
  <si>
    <r>
      <t xml:space="preserve">Fecha Límite de pago: 
</t>
    </r>
    <r>
      <rPr>
        <sz val="8"/>
        <rFont val="Verdana"/>
        <family val="2"/>
      </rPr>
      <t xml:space="preserve">Si tu fecha de corte es el día 3, tu fecha de pago es el día 3 de cada mes. 
Si tu fecha de corte es el día 17, tu fecha de pago es el día 17 de cada mes. </t>
    </r>
  </si>
  <si>
    <r>
      <t xml:space="preserve">Fecha de corte: </t>
    </r>
    <r>
      <rPr>
        <sz val="8"/>
        <rFont val="Verdana"/>
        <family val="2"/>
      </rPr>
      <t xml:space="preserve">
Si tu fecha de disposición es entre el dia 3 y 16, tu fecha de corte será el día 3 de cada mes. 
Si tu fecha de disposición es entre el día 17 y 2, tu fecha de corte será el día 17 de cada mes.</t>
    </r>
  </si>
  <si>
    <t xml:space="preserve">Incumplir tus obligaciones te puede generar comisiones e intereses moratorios. </t>
  </si>
  <si>
    <t>Para otras comisiones consulte la cláusula décimo tercera</t>
  </si>
  <si>
    <t>Vigésima Cuarta</t>
  </si>
  <si>
    <t>7x5 15 años</t>
  </si>
  <si>
    <t>7x5 20 años</t>
  </si>
  <si>
    <t>15 años</t>
  </si>
  <si>
    <t>20 años</t>
  </si>
  <si>
    <t>-</t>
  </si>
  <si>
    <t>SI</t>
  </si>
  <si>
    <t>Scotiabank Inverlat le ofrece al acreditado y/o coacreditado, la posibilidad de contratar a nombre de este (os) último(s) los seguros establecidos en la cláusula vigésima cuarta. Lo anterior sin perjuicio del derecho innegable que el cliente tiene de contratarlos a través de terceros.</t>
  </si>
  <si>
    <t>CALCULO CRÉDITO COFINAVIT</t>
  </si>
  <si>
    <t>Crédito Infonavit Neto</t>
  </si>
  <si>
    <t>Cred. Total Infonavit</t>
  </si>
  <si>
    <t>Cred. Banco Ajustado</t>
  </si>
  <si>
    <t>Número de Crédito:</t>
  </si>
  <si>
    <t>Salario diario nominal (enero 2021)</t>
  </si>
  <si>
    <r>
      <t xml:space="preserve">Envío a Domicilio </t>
    </r>
    <r>
      <rPr>
        <u val="single"/>
        <sz val="10"/>
        <rFont val="Wingdings"/>
        <family val="0"/>
      </rPr>
      <t>ü</t>
    </r>
    <r>
      <rPr>
        <sz val="8"/>
        <rFont val="Verdana"/>
        <family val="2"/>
      </rPr>
      <t xml:space="preserve">              Consulta vía Internet ___            Envío por Correo Electrónico ___</t>
    </r>
  </si>
  <si>
    <t>Cardif México Seguros de Vida,          S.A. de C.V.</t>
  </si>
  <si>
    <t>Daños, Responsabilidad Civil y           Desempleo</t>
  </si>
  <si>
    <t>Cardif México Seguros Generales, S.A. de C.V.</t>
  </si>
  <si>
    <t>Valor del inmueble al 75%</t>
  </si>
  <si>
    <t>v2022.06</t>
  </si>
  <si>
    <t>RELACIÓN RECAS</t>
  </si>
  <si>
    <t>0319-138-024406/12-02347-0622</t>
  </si>
  <si>
    <t>0319-138-020518/12-02348-0622</t>
  </si>
  <si>
    <t>0319-138-020519/12-02349-0622</t>
  </si>
  <si>
    <t>0319-138-020524/13-02350-0622</t>
  </si>
  <si>
    <t>0319-138-020525/13-02351-0622</t>
  </si>
  <si>
    <t>0319-138-020526/12-02352-0622</t>
  </si>
  <si>
    <t>0319-138-007482/21-02339-0622</t>
  </si>
  <si>
    <t>0319-138-007483/21-02340-0622</t>
  </si>
  <si>
    <t>0319-138-027733/11-02356-0622</t>
  </si>
  <si>
    <t>Erogación 
(a+b)</t>
  </si>
  <si>
    <t>Interés 
(a)</t>
  </si>
  <si>
    <t>Amortización (b)</t>
  </si>
  <si>
    <t>Prepagos a capital (c)</t>
  </si>
  <si>
    <t>Seguro de 
vida (d)</t>
  </si>
  <si>
    <t>Seguro de daños (e)</t>
  </si>
  <si>
    <t>Pago Mensual (a+b+c+d+e)</t>
  </si>
  <si>
    <r>
      <t>Cobranza: $500.00 más IVA por pago tardío</t>
    </r>
    <r>
      <rPr>
        <sz val="8"/>
        <rFont val="Verdana"/>
        <family val="2"/>
      </rPr>
      <t xml:space="preserve"> </t>
    </r>
  </si>
  <si>
    <t xml:space="preserve">Teléfono: 800 999 8080 y (55) 5340 0999. Página de Internet. www.condusef.gob.mx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</si>
</sst>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quot;$&quot;#,##0.00\)"/>
    <numFmt numFmtId="166" formatCode="_(&quot;$&quot;* #,##0.00_);_(&quot;$&quot;* \(#,##0.00\);_(&quot;$&quot;* &quot;-&quot;??_);_(@_)"/>
    <numFmt numFmtId="167" formatCode="_(* #,##0.00_);_(* \(#,##0.00\);_(* &quot;-&quot;??_);_(@_)"/>
    <numFmt numFmtId="168" formatCode="_(* #,##0_);_(* \(#,##0\);_(* &quot;-&quot;??_);_(@_)"/>
    <numFmt numFmtId="169" formatCode="0.0%"/>
    <numFmt numFmtId="170" formatCode="_(&quot;$&quot;* #,##0_);_(&quot;$&quot;* \(#,##0.00\);_(&quot;$&quot;* &quot;-&quot;??_);_(@_)"/>
    <numFmt numFmtId="171" formatCode="#,##0.000"/>
    <numFmt numFmtId="172" formatCode="0.000%"/>
    <numFmt numFmtId="173" formatCode="mmmm\ d\,\ yyyy"/>
    <numFmt numFmtId="174" formatCode="&quot;$&quot;#,##0.00"/>
    <numFmt numFmtId="175" formatCode="#,##0.00;[Red]#,##0.00"/>
    <numFmt numFmtId="176" formatCode="_-* #,##0_-;\-* #,##0_-;_-* &quot;-&quot;??_-;_-@_-"/>
    <numFmt numFmtId="177" formatCode="_(* #,##0.0000_);_(* \(#,##0.0000\);_(* &quot;-&quot;??_);_(@_)"/>
    <numFmt numFmtId="178" formatCode="0.00000%"/>
    <numFmt numFmtId="179" formatCode="[$$-80A]#,##0.00;\-[$$-80A]#,##0.00"/>
    <numFmt numFmtId="180" formatCode="_(* #,##0.00000_);_(* \(#,##0.00000\);_(* &quot;-&quot;??_);_(@_)"/>
    <numFmt numFmtId="181" formatCode="0.000000000%"/>
    <numFmt numFmtId="182" formatCode="_(* #,##0.0000000_);_(* \(#,##0.0000000\);_(* &quot;-&quot;??_);_(@_)"/>
    <numFmt numFmtId="183" formatCode="_(* #,##0.00000000_);_(* \(#,##0.00000000\);_(* &quot;-&quot;??_);_(@_)"/>
    <numFmt numFmtId="184" formatCode="0.0000000000"/>
    <numFmt numFmtId="185" formatCode="0.000"/>
    <numFmt numFmtId="186" formatCode="#,##0.00000000"/>
    <numFmt numFmtId="187" formatCode="_(* #,##0.0_);_(* \(#,##0.0\);_(* &quot;-&quot;??_);_(@_)"/>
    <numFmt numFmtId="188" formatCode="_(* #,##0.000_);_(* \(#,##0.000\);_(* &quot;-&quot;??_);_(@_)"/>
    <numFmt numFmtId="189" formatCode="0.000000%"/>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80A]dddd\,\ dd&quot; de &quot;mmmm&quot; de &quot;yyyy"/>
    <numFmt numFmtId="195" formatCode="[$-80A]hh:mm:ss\ AM/PM"/>
    <numFmt numFmtId="196" formatCode="_(* #,##0.000000000_);_(* \(#,##0.000000000\);_(* &quot;-&quot;??_);_(@_)"/>
    <numFmt numFmtId="197" formatCode="_(* #,##0.0000000000_);_(* \(#,##0.0000000000\);_(* &quot;-&quot;??_);_(@_)"/>
    <numFmt numFmtId="198" formatCode="0.0000%"/>
  </numFmts>
  <fonts count="153">
    <font>
      <sz val="10"/>
      <name val="Arial"/>
      <family val="0"/>
    </font>
    <font>
      <sz val="11"/>
      <color indexed="8"/>
      <name val="Calibri"/>
      <family val="2"/>
    </font>
    <font>
      <b/>
      <sz val="8"/>
      <name val="Arial"/>
      <family val="2"/>
    </font>
    <font>
      <sz val="8"/>
      <name val="Arial"/>
      <family val="2"/>
    </font>
    <font>
      <b/>
      <sz val="8"/>
      <color indexed="10"/>
      <name val="Arial"/>
      <family val="2"/>
    </font>
    <font>
      <b/>
      <i/>
      <sz val="12"/>
      <color indexed="10"/>
      <name val="Arial"/>
      <family val="2"/>
    </font>
    <font>
      <b/>
      <sz val="10"/>
      <name val="Arial"/>
      <family val="2"/>
    </font>
    <font>
      <b/>
      <sz val="10"/>
      <color indexed="10"/>
      <name val="Arial"/>
      <family val="2"/>
    </font>
    <font>
      <sz val="9"/>
      <name val="Arial"/>
      <family val="2"/>
    </font>
    <font>
      <b/>
      <sz val="12"/>
      <color indexed="10"/>
      <name val="Arial"/>
      <family val="2"/>
    </font>
    <font>
      <sz val="11"/>
      <name val="Arial"/>
      <family val="2"/>
    </font>
    <font>
      <b/>
      <i/>
      <sz val="10"/>
      <name val="Arial"/>
      <family val="2"/>
    </font>
    <font>
      <b/>
      <sz val="9"/>
      <name val="Arial"/>
      <family val="2"/>
    </font>
    <font>
      <sz val="8"/>
      <name val="Tahoma"/>
      <family val="2"/>
    </font>
    <font>
      <i/>
      <sz val="11"/>
      <name val="Arial"/>
      <family val="2"/>
    </font>
    <font>
      <b/>
      <sz val="16"/>
      <color indexed="10"/>
      <name val="Arial"/>
      <family val="2"/>
    </font>
    <font>
      <b/>
      <u val="single"/>
      <sz val="10"/>
      <name val="Arial"/>
      <family val="2"/>
    </font>
    <font>
      <strike/>
      <sz val="8"/>
      <name val="Arial"/>
      <family val="2"/>
    </font>
    <font>
      <b/>
      <sz val="8"/>
      <name val="Verdana"/>
      <family val="2"/>
    </font>
    <font>
      <sz val="8"/>
      <name val="Verdana"/>
      <family val="2"/>
    </font>
    <font>
      <b/>
      <sz val="9"/>
      <name val="Tahoma"/>
      <family val="2"/>
    </font>
    <font>
      <b/>
      <sz val="8"/>
      <name val="Tahoma"/>
      <family val="2"/>
    </font>
    <font>
      <sz val="9"/>
      <name val="Tahoma"/>
      <family val="2"/>
    </font>
    <font>
      <sz val="7"/>
      <name val="Arial"/>
      <family val="2"/>
    </font>
    <font>
      <sz val="6"/>
      <name val="Arial"/>
      <family val="2"/>
    </font>
    <font>
      <sz val="14"/>
      <name val="Arial"/>
      <family val="2"/>
    </font>
    <font>
      <u val="single"/>
      <sz val="10"/>
      <name val="Wingdings"/>
      <family val="0"/>
    </font>
    <font>
      <sz val="10"/>
      <color indexed="8"/>
      <name val="Arial"/>
      <family val="2"/>
    </font>
    <font>
      <sz val="9"/>
      <color indexed="8"/>
      <name val="Arial"/>
      <family val="2"/>
    </font>
    <font>
      <sz val="8"/>
      <color indexed="8"/>
      <name val="Arial"/>
      <family val="2"/>
    </font>
    <font>
      <sz val="11"/>
      <color indexed="63"/>
      <name val="Calibri"/>
      <family val="2"/>
    </font>
    <font>
      <b/>
      <sz val="10"/>
      <name val="Verdana"/>
      <family val="2"/>
    </font>
    <font>
      <b/>
      <sz val="9"/>
      <color indexed="10"/>
      <name val="Arial"/>
      <family val="2"/>
    </font>
    <font>
      <b/>
      <sz val="8"/>
      <name val="Scotia"/>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3"/>
      <color indexed="57"/>
      <name val="Calibri"/>
      <family val="2"/>
    </font>
    <font>
      <b/>
      <sz val="11"/>
      <color indexed="8"/>
      <name val="Calibri"/>
      <family val="2"/>
    </font>
    <font>
      <sz val="10"/>
      <color indexed="9"/>
      <name val="Arial"/>
      <family val="2"/>
    </font>
    <font>
      <sz val="8"/>
      <color indexed="10"/>
      <name val="Arial"/>
      <family val="2"/>
    </font>
    <font>
      <b/>
      <sz val="11"/>
      <color indexed="10"/>
      <name val="Arial"/>
      <family val="2"/>
    </font>
    <font>
      <sz val="9"/>
      <color indexed="10"/>
      <name val="Arial"/>
      <family val="2"/>
    </font>
    <font>
      <sz val="8"/>
      <color indexed="9"/>
      <name val="Arial"/>
      <family val="2"/>
    </font>
    <font>
      <b/>
      <i/>
      <u val="single"/>
      <sz val="8"/>
      <color indexed="10"/>
      <name val="Arial"/>
      <family val="2"/>
    </font>
    <font>
      <strike/>
      <sz val="8"/>
      <color indexed="30"/>
      <name val="Arial"/>
      <family val="2"/>
    </font>
    <font>
      <b/>
      <i/>
      <sz val="12"/>
      <color indexed="9"/>
      <name val="Arial"/>
      <family val="2"/>
    </font>
    <font>
      <b/>
      <sz val="8"/>
      <color indexed="9"/>
      <name val="Arial"/>
      <family val="2"/>
    </font>
    <font>
      <sz val="10"/>
      <color indexed="13"/>
      <name val="Arial"/>
      <family val="2"/>
    </font>
    <font>
      <sz val="6"/>
      <color indexed="9"/>
      <name val="Calibri"/>
      <family val="2"/>
    </font>
    <font>
      <sz val="11"/>
      <color indexed="49"/>
      <name val="Calibri"/>
      <family val="2"/>
    </font>
    <font>
      <sz val="10"/>
      <color indexed="8"/>
      <name val="Times New Roman"/>
      <family val="1"/>
    </font>
    <font>
      <b/>
      <sz val="10"/>
      <color indexed="10"/>
      <name val="Times New Roman"/>
      <family val="1"/>
    </font>
    <font>
      <sz val="9"/>
      <color indexed="9"/>
      <name val="Arial"/>
      <family val="2"/>
    </font>
    <font>
      <b/>
      <sz val="10"/>
      <color indexed="9"/>
      <name val="Arial"/>
      <family val="2"/>
    </font>
    <font>
      <b/>
      <sz val="11"/>
      <name val="Calibri"/>
      <family val="2"/>
    </font>
    <font>
      <sz val="8"/>
      <color indexed="8"/>
      <name val="Calibri"/>
      <family val="2"/>
    </font>
    <font>
      <b/>
      <sz val="10"/>
      <color indexed="10"/>
      <name val="Arial Black"/>
      <family val="2"/>
    </font>
    <font>
      <sz val="7"/>
      <color indexed="10"/>
      <name val="Arial"/>
      <family val="2"/>
    </font>
    <font>
      <sz val="8"/>
      <color indexed="10"/>
      <name val="Calibri"/>
      <family val="2"/>
    </font>
    <font>
      <sz val="9"/>
      <color indexed="57"/>
      <name val="Arial"/>
      <family val="2"/>
    </font>
    <font>
      <i/>
      <sz val="8"/>
      <color indexed="23"/>
      <name val="Calibri"/>
      <family val="2"/>
    </font>
    <font>
      <b/>
      <sz val="8"/>
      <color indexed="23"/>
      <name val="Arial"/>
      <family val="2"/>
    </font>
    <font>
      <sz val="8"/>
      <color indexed="23"/>
      <name val="Arial"/>
      <family val="2"/>
    </font>
    <font>
      <b/>
      <sz val="8"/>
      <color indexed="23"/>
      <name val="Calibri"/>
      <family val="2"/>
    </font>
    <font>
      <sz val="8"/>
      <color indexed="23"/>
      <name val="Calibri"/>
      <family val="2"/>
    </font>
    <font>
      <sz val="8"/>
      <color indexed="13"/>
      <name val="Arial"/>
      <family val="2"/>
    </font>
    <font>
      <sz val="8"/>
      <color indexed="57"/>
      <name val="Arial"/>
      <family val="2"/>
    </font>
    <font>
      <b/>
      <sz val="12"/>
      <color indexed="63"/>
      <name val="Calibri"/>
      <family val="2"/>
    </font>
    <font>
      <b/>
      <sz val="12"/>
      <color indexed="10"/>
      <name val="Calibri"/>
      <family val="2"/>
    </font>
    <font>
      <sz val="12"/>
      <color indexed="63"/>
      <name val="Calibri"/>
      <family val="2"/>
    </font>
    <font>
      <b/>
      <sz val="8"/>
      <color indexed="62"/>
      <name val="Arial"/>
      <family val="2"/>
    </font>
    <font>
      <sz val="8"/>
      <color indexed="8"/>
      <name val="Verdana"/>
      <family val="2"/>
    </font>
    <font>
      <sz val="9"/>
      <color indexed="23"/>
      <name val="Arial"/>
      <family val="2"/>
    </font>
    <font>
      <b/>
      <sz val="14"/>
      <color indexed="9"/>
      <name val="Calibri"/>
      <family val="2"/>
    </font>
    <font>
      <sz val="9"/>
      <color indexed="63"/>
      <name val="Calibri"/>
      <family val="2"/>
    </font>
    <font>
      <b/>
      <sz val="16"/>
      <color indexed="63"/>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8"/>
      <color rgb="FFFF0000"/>
      <name val="Arial"/>
      <family val="2"/>
    </font>
    <font>
      <b/>
      <sz val="11"/>
      <color rgb="FFFF0000"/>
      <name val="Arial"/>
      <family val="2"/>
    </font>
    <font>
      <sz val="9"/>
      <color rgb="FFFF0000"/>
      <name val="Arial"/>
      <family val="2"/>
    </font>
    <font>
      <sz val="8"/>
      <color theme="0"/>
      <name val="Arial"/>
      <family val="2"/>
    </font>
    <font>
      <b/>
      <i/>
      <u val="single"/>
      <sz val="8"/>
      <color rgb="FFFF0000"/>
      <name val="Arial"/>
      <family val="2"/>
    </font>
    <font>
      <b/>
      <sz val="8"/>
      <color rgb="FFFF0000"/>
      <name val="Arial"/>
      <family val="2"/>
    </font>
    <font>
      <sz val="8"/>
      <color rgb="FFC00000"/>
      <name val="Arial"/>
      <family val="2"/>
    </font>
    <font>
      <strike/>
      <sz val="8"/>
      <color rgb="FF0070C0"/>
      <name val="Arial"/>
      <family val="2"/>
    </font>
    <font>
      <b/>
      <i/>
      <sz val="12"/>
      <color theme="0"/>
      <name val="Arial"/>
      <family val="2"/>
    </font>
    <font>
      <b/>
      <sz val="8"/>
      <color theme="0"/>
      <name val="Arial"/>
      <family val="2"/>
    </font>
    <font>
      <sz val="10"/>
      <color rgb="FFFFFF00"/>
      <name val="Arial"/>
      <family val="2"/>
    </font>
    <font>
      <sz val="6"/>
      <color theme="0"/>
      <name val="Calibri"/>
      <family val="2"/>
    </font>
    <font>
      <sz val="11"/>
      <color theme="3" tint="0.39998000860214233"/>
      <name val="Calibri"/>
      <family val="2"/>
    </font>
    <font>
      <sz val="10"/>
      <color theme="1"/>
      <name val="Times New Roman"/>
      <family val="1"/>
    </font>
    <font>
      <b/>
      <sz val="10"/>
      <color rgb="FFFF0000"/>
      <name val="Times New Roman"/>
      <family val="1"/>
    </font>
    <font>
      <b/>
      <sz val="10"/>
      <color rgb="FFFF0000"/>
      <name val="Arial"/>
      <family val="2"/>
    </font>
    <font>
      <sz val="9"/>
      <color theme="0"/>
      <name val="Arial"/>
      <family val="2"/>
    </font>
    <font>
      <b/>
      <sz val="10"/>
      <color theme="0"/>
      <name val="Arial"/>
      <family val="2"/>
    </font>
    <font>
      <sz val="8"/>
      <color theme="1"/>
      <name val="Calibri"/>
      <family val="2"/>
    </font>
    <font>
      <b/>
      <sz val="10"/>
      <color rgb="FFFF0000"/>
      <name val="Arial Black"/>
      <family val="2"/>
    </font>
    <font>
      <b/>
      <sz val="9"/>
      <color rgb="FFFF0000"/>
      <name val="Arial"/>
      <family val="2"/>
    </font>
    <font>
      <sz val="7"/>
      <color rgb="FFFF0000"/>
      <name val="Arial"/>
      <family val="2"/>
    </font>
    <font>
      <sz val="8"/>
      <color rgb="FFFF0000"/>
      <name val="Calibri"/>
      <family val="2"/>
    </font>
    <font>
      <sz val="9"/>
      <color theme="4" tint="-0.24997000396251678"/>
      <name val="Arial"/>
      <family val="2"/>
    </font>
    <font>
      <i/>
      <sz val="8"/>
      <color theme="0" tint="-0.4999699890613556"/>
      <name val="Calibri"/>
      <family val="2"/>
    </font>
    <font>
      <b/>
      <sz val="8"/>
      <color theme="0" tint="-0.4999699890613556"/>
      <name val="Arial"/>
      <family val="2"/>
    </font>
    <font>
      <sz val="8"/>
      <color theme="0" tint="-0.4999699890613556"/>
      <name val="Arial"/>
      <family val="2"/>
    </font>
    <font>
      <b/>
      <sz val="8"/>
      <color theme="0" tint="-0.4999699890613556"/>
      <name val="Calibri"/>
      <family val="2"/>
    </font>
    <font>
      <sz val="8"/>
      <color theme="0" tint="-0.4999699890613556"/>
      <name val="Calibri"/>
      <family val="2"/>
    </font>
    <font>
      <sz val="8"/>
      <color rgb="FFFFFF00"/>
      <name val="Arial"/>
      <family val="2"/>
    </font>
    <font>
      <sz val="8"/>
      <color theme="8" tint="-0.4999699890613556"/>
      <name val="Arial"/>
      <family val="2"/>
    </font>
    <font>
      <b/>
      <sz val="12"/>
      <color rgb="FF404040"/>
      <name val="Calibri"/>
      <family val="2"/>
    </font>
    <font>
      <b/>
      <sz val="12"/>
      <color rgb="FFC00000"/>
      <name val="Calibri"/>
      <family val="2"/>
    </font>
    <font>
      <sz val="12"/>
      <color rgb="FF404040"/>
      <name val="Calibri"/>
      <family val="2"/>
    </font>
    <font>
      <b/>
      <sz val="11"/>
      <color rgb="FF404040"/>
      <name val="Calibri"/>
      <family val="2"/>
    </font>
    <font>
      <b/>
      <sz val="11"/>
      <color rgb="FFC00000"/>
      <name val="Calibri"/>
      <family val="2"/>
    </font>
    <font>
      <sz val="11"/>
      <color rgb="FF404040"/>
      <name val="Calibri"/>
      <family val="2"/>
    </font>
    <font>
      <b/>
      <sz val="8"/>
      <color rgb="FF7030A0"/>
      <name val="Arial"/>
      <family val="2"/>
    </font>
    <font>
      <sz val="8"/>
      <color theme="1"/>
      <name val="Verdana"/>
      <family val="2"/>
    </font>
    <font>
      <sz val="9"/>
      <color theme="0" tint="-0.4999699890613556"/>
      <name val="Arial"/>
      <family val="2"/>
    </font>
    <font>
      <b/>
      <sz val="14"/>
      <color theme="0"/>
      <name val="Calibri"/>
      <family val="2"/>
    </font>
    <font>
      <b/>
      <sz val="16"/>
      <color rgb="FF404040"/>
      <name val="Calibri"/>
      <family val="2"/>
    </font>
    <font>
      <sz val="9"/>
      <color rgb="FF40404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3" tint="0.7999799847602844"/>
        <bgColor indexed="64"/>
      </patternFill>
    </fill>
    <fill>
      <patternFill patternType="solid">
        <fgColor rgb="FFC0C0C0"/>
        <bgColor indexed="64"/>
      </patternFill>
    </fill>
    <fill>
      <patternFill patternType="solid">
        <fgColor rgb="FFE1E1E1"/>
        <bgColor indexed="64"/>
      </patternFill>
    </fill>
    <fill>
      <patternFill patternType="solid">
        <fgColor rgb="FF96F28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theme="2"/>
        <bgColor indexed="64"/>
      </patternFill>
    </fill>
    <fill>
      <patternFill patternType="solid">
        <fgColor rgb="FF0070C0"/>
        <bgColor indexed="64"/>
      </patternFill>
    </fill>
    <fill>
      <patternFill patternType="solid">
        <fgColor rgb="FFFFC000"/>
        <bgColor indexed="64"/>
      </patternFill>
    </fill>
    <fill>
      <patternFill patternType="solid">
        <fgColor rgb="FFD9D9D9"/>
        <bgColor indexed="64"/>
      </patternFill>
    </fill>
    <fill>
      <patternFill patternType="solid">
        <fgColor theme="3" tint="0.5999900102615356"/>
        <bgColor indexed="64"/>
      </patternFill>
    </fill>
    <fill>
      <patternFill patternType="solid">
        <fgColor rgb="FFFFFFFF"/>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top/>
      <bottom style="thin"/>
    </border>
    <border>
      <left/>
      <right style="medium"/>
      <top/>
      <bottom/>
    </border>
    <border>
      <left/>
      <right style="thin"/>
      <top style="thin"/>
      <bottom/>
    </border>
    <border>
      <left/>
      <right style="thin"/>
      <top/>
      <bottom/>
    </border>
    <border>
      <left/>
      <right/>
      <top/>
      <bottom style="medium"/>
    </border>
    <border>
      <left style="medium"/>
      <right/>
      <top/>
      <bottom style="medium"/>
    </border>
    <border>
      <left style="thin"/>
      <right/>
      <top style="thin"/>
      <bottom/>
    </border>
    <border>
      <left/>
      <right/>
      <top style="thin"/>
      <bottom/>
    </border>
    <border>
      <left style="thin"/>
      <right/>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style="medium">
        <color rgb="FF0070C0"/>
      </left>
      <right/>
      <top/>
      <bottom style="medium">
        <color rgb="FF0070C0"/>
      </bottom>
    </border>
    <border>
      <left/>
      <right/>
      <top/>
      <bottom style="medium">
        <color rgb="FF0070C0"/>
      </bottom>
    </border>
    <border>
      <left/>
      <right style="medium">
        <color rgb="FF0070C0"/>
      </right>
      <top/>
      <bottom style="medium">
        <color rgb="FF0070C0"/>
      </bottom>
    </border>
    <border>
      <left/>
      <right style="medium"/>
      <top/>
      <bottom style="medium"/>
    </border>
    <border>
      <left style="medium">
        <color rgb="FFFF0000"/>
      </left>
      <right style="medium">
        <color rgb="FFFF0000"/>
      </right>
      <top style="medium">
        <color rgb="FFFF0000"/>
      </top>
      <bottom style="medium">
        <color rgb="FFFF0000"/>
      </bottom>
    </border>
    <border>
      <left style="thin"/>
      <right/>
      <top/>
      <bottom style="thin"/>
    </border>
    <border>
      <left style="thin"/>
      <right style="medium">
        <color rgb="FF0070C0"/>
      </right>
      <top/>
      <bottom/>
    </border>
    <border>
      <left style="thin">
        <color rgb="FFFF0000"/>
      </left>
      <right style="thin">
        <color rgb="FFFF0000"/>
      </right>
      <top style="thin">
        <color rgb="FFFF0000"/>
      </top>
      <bottom style="thin">
        <color rgb="FFFF0000"/>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theme="3" tint="0.3999499976634979"/>
      </left>
      <right style="thin">
        <color theme="3" tint="0.3999499976634979"/>
      </right>
      <top style="thin">
        <color theme="3" tint="0.3999499976634979"/>
      </top>
      <bottom style="thin">
        <color theme="3" tint="0.3999499976634979"/>
      </bottom>
    </border>
    <border>
      <left style="thin">
        <color rgb="FF000000"/>
      </left>
      <right style="thin">
        <color rgb="FF000000"/>
      </right>
      <top/>
      <bottom/>
    </border>
    <border>
      <left style="medium"/>
      <right style="thin"/>
      <top style="thin"/>
      <bottom style="thin"/>
    </border>
    <border>
      <left/>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right style="thin"/>
      <top/>
      <bottom style="thin">
        <color rgb="FF000000"/>
      </bottom>
    </border>
    <border>
      <left style="thin"/>
      <right style="thin"/>
      <top style="thin">
        <color rgb="FF000000"/>
      </top>
      <bottom/>
    </border>
    <border>
      <left style="medium"/>
      <right style="thin"/>
      <top/>
      <bottom/>
    </border>
    <border>
      <left/>
      <right/>
      <top style="thin">
        <color rgb="FF000000"/>
      </top>
      <bottom/>
    </border>
    <border>
      <left/>
      <right style="thin">
        <color rgb="FF000000"/>
      </right>
      <top style="thin">
        <color rgb="FF000000"/>
      </top>
      <bottom/>
    </border>
    <border>
      <left/>
      <right style="thin">
        <color rgb="FF000000"/>
      </right>
      <top/>
      <bottom/>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7F7F7F"/>
      </bottom>
    </border>
    <border>
      <left style="thin">
        <color rgb="FF7F7F7F"/>
      </left>
      <right style="thin">
        <color rgb="FF7F7F7F"/>
      </right>
      <top style="thin">
        <color rgb="FF7F7F7F"/>
      </top>
      <bottom>
        <color indexed="63"/>
      </bottom>
    </border>
    <border>
      <left style="thin">
        <color rgb="FF7F7F7F"/>
      </left>
      <right style="thin">
        <color rgb="FF7F7F7F"/>
      </right>
      <top>
        <color indexed="63"/>
      </top>
      <bottom>
        <color indexed="63"/>
      </bottom>
    </border>
    <border>
      <left style="thin">
        <color rgb="FF7F7F7F"/>
      </left>
      <right style="thin">
        <color rgb="FF7F7F7F"/>
      </right>
      <top>
        <color indexed="63"/>
      </top>
      <bottom style="thin">
        <color rgb="FF7F7F7F"/>
      </bottom>
    </border>
    <border>
      <left style="thin">
        <color rgb="FF7F7F7F"/>
      </left>
      <right>
        <color indexed="63"/>
      </right>
      <top style="thin">
        <color rgb="FF7F7F7F"/>
      </top>
      <bottom>
        <color indexed="63"/>
      </bottom>
    </border>
    <border>
      <left>
        <color indexed="63"/>
      </left>
      <right style="thin">
        <color rgb="FF7F7F7F"/>
      </right>
      <top style="thin">
        <color rgb="FF7F7F7F"/>
      </top>
      <bottom>
        <color indexed="63"/>
      </bottom>
    </border>
    <border>
      <left style="thin">
        <color rgb="FF7F7F7F"/>
      </left>
      <right>
        <color indexed="63"/>
      </right>
      <top>
        <color indexed="63"/>
      </top>
      <bottom style="thin">
        <color rgb="FF7F7F7F"/>
      </bottom>
    </border>
    <border>
      <left>
        <color indexed="63"/>
      </left>
      <right style="thin">
        <color rgb="FF7F7F7F"/>
      </right>
      <top>
        <color indexed="63"/>
      </top>
      <bottom style="thin">
        <color rgb="FF7F7F7F"/>
      </bottom>
    </border>
    <border>
      <left style="thin">
        <color rgb="FF7F7F7F"/>
      </left>
      <right>
        <color indexed="63"/>
      </right>
      <top style="thin">
        <color rgb="FF7F7F7F"/>
      </top>
      <bottom style="thin">
        <color rgb="FF7F7F7F"/>
      </bottom>
    </border>
    <border>
      <left>
        <color indexed="63"/>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8" fillId="29" borderId="1"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4" fontId="90" fillId="0" borderId="0" applyFont="0" applyFill="0" applyBorder="0" applyAlignment="0" applyProtection="0"/>
    <xf numFmtId="0" fontId="102" fillId="31" borderId="0" applyNumberFormat="0" applyBorder="0" applyAlignment="0" applyProtection="0"/>
    <xf numFmtId="0" fontId="0" fillId="0" borderId="0">
      <alignment/>
      <protection/>
    </xf>
    <xf numFmtId="0" fontId="90" fillId="0" borderId="0">
      <alignment/>
      <protection/>
    </xf>
    <xf numFmtId="0" fontId="0" fillId="32" borderId="5" applyNumberFormat="0" applyFont="0" applyAlignment="0" applyProtection="0"/>
    <xf numFmtId="9" fontId="0" fillId="0" borderId="0" applyFont="0" applyFill="0" applyBorder="0" applyAlignment="0" applyProtection="0"/>
    <xf numFmtId="9" fontId="90" fillId="0" borderId="0" applyFont="0" applyFill="0" applyBorder="0" applyAlignment="0" applyProtection="0"/>
    <xf numFmtId="0" fontId="103" fillId="21" borderId="6"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7" applyNumberFormat="0" applyFill="0" applyAlignment="0" applyProtection="0"/>
    <xf numFmtId="0" fontId="97" fillId="0" borderId="8" applyNumberFormat="0" applyFill="0" applyAlignment="0" applyProtection="0"/>
    <xf numFmtId="0" fontId="108" fillId="0" borderId="9" applyNumberFormat="0" applyFill="0" applyAlignment="0" applyProtection="0"/>
  </cellStyleXfs>
  <cellXfs count="785">
    <xf numFmtId="0" fontId="0" fillId="0" borderId="0" xfId="0" applyAlignment="1">
      <alignment/>
    </xf>
    <xf numFmtId="0" fontId="2" fillId="0" borderId="10" xfId="0" applyFont="1" applyFill="1" applyBorder="1" applyAlignment="1" applyProtection="1">
      <alignment horizontal="center" wrapText="1"/>
      <protection/>
    </xf>
    <xf numFmtId="0" fontId="3" fillId="0" borderId="0" xfId="0" applyFont="1" applyAlignment="1" applyProtection="1">
      <alignment/>
      <protection hidden="1"/>
    </xf>
    <xf numFmtId="168" fontId="3" fillId="0" borderId="0" xfId="49" applyNumberFormat="1" applyFont="1" applyAlignment="1" applyProtection="1">
      <alignment/>
      <protection hidden="1"/>
    </xf>
    <xf numFmtId="168" fontId="3" fillId="0" borderId="0" xfId="49" applyNumberFormat="1" applyFont="1" applyFill="1" applyAlignment="1" applyProtection="1">
      <alignment/>
      <protection hidden="1"/>
    </xf>
    <xf numFmtId="168" fontId="3" fillId="0" borderId="11" xfId="49" applyNumberFormat="1" applyFont="1" applyFill="1" applyBorder="1" applyAlignment="1" applyProtection="1">
      <alignment/>
      <protection hidden="1"/>
    </xf>
    <xf numFmtId="168" fontId="3" fillId="0" borderId="12" xfId="49" applyNumberFormat="1" applyFont="1" applyFill="1" applyBorder="1" applyAlignment="1" applyProtection="1">
      <alignment/>
      <protection/>
    </xf>
    <xf numFmtId="0" fontId="2" fillId="0" borderId="0" xfId="0" applyFont="1" applyFill="1" applyBorder="1" applyAlignment="1" applyProtection="1">
      <alignment/>
      <protection hidden="1"/>
    </xf>
    <xf numFmtId="168" fontId="2" fillId="0" borderId="0" xfId="49" applyNumberFormat="1" applyFont="1" applyFill="1" applyBorder="1" applyAlignment="1" applyProtection="1">
      <alignment horizontal="right"/>
      <protection hidden="1"/>
    </xf>
    <xf numFmtId="168" fontId="3" fillId="0" borderId="0" xfId="49" applyNumberFormat="1" applyFont="1" applyFill="1" applyBorder="1" applyAlignment="1" applyProtection="1">
      <alignment horizontal="center"/>
      <protection hidden="1"/>
    </xf>
    <xf numFmtId="164" fontId="3" fillId="0" borderId="0" xfId="49" applyNumberFormat="1" applyFont="1" applyFill="1" applyBorder="1" applyAlignment="1" applyProtection="1">
      <alignment horizontal="centerContinuous"/>
      <protection hidden="1"/>
    </xf>
    <xf numFmtId="168" fontId="3" fillId="0" borderId="12" xfId="49" applyNumberFormat="1" applyFont="1" applyFill="1" applyBorder="1" applyAlignment="1" applyProtection="1">
      <alignment horizontal="right"/>
      <protection/>
    </xf>
    <xf numFmtId="176" fontId="3" fillId="0" borderId="0" xfId="49" applyNumberFormat="1" applyFont="1" applyFill="1" applyAlignment="1" applyProtection="1">
      <alignment/>
      <protection hidden="1"/>
    </xf>
    <xf numFmtId="1" fontId="3" fillId="0" borderId="0" xfId="0" applyNumberFormat="1" applyFont="1" applyFill="1" applyAlignment="1" applyProtection="1">
      <alignment/>
      <protection hidden="1"/>
    </xf>
    <xf numFmtId="168" fontId="3" fillId="0" borderId="13" xfId="49" applyNumberFormat="1" applyFont="1" applyFill="1" applyBorder="1" applyAlignment="1" applyProtection="1">
      <alignment/>
      <protection hidden="1"/>
    </xf>
    <xf numFmtId="168" fontId="3" fillId="0" borderId="14" xfId="49" applyNumberFormat="1" applyFont="1" applyFill="1" applyBorder="1" applyAlignment="1" applyProtection="1">
      <alignment/>
      <protection hidden="1"/>
    </xf>
    <xf numFmtId="168" fontId="2" fillId="0" borderId="12" xfId="49" applyNumberFormat="1" applyFont="1" applyFill="1" applyBorder="1" applyAlignment="1" applyProtection="1">
      <alignment horizontal="center" vertical="center" wrapText="1"/>
      <protection/>
    </xf>
    <xf numFmtId="3" fontId="3" fillId="0" borderId="12" xfId="58" applyNumberFormat="1" applyFont="1" applyFill="1" applyBorder="1" applyAlignment="1" applyProtection="1">
      <alignment horizontal="right"/>
      <protection/>
    </xf>
    <xf numFmtId="10" fontId="3" fillId="0" borderId="14" xfId="49" applyNumberFormat="1" applyFont="1" applyFill="1" applyBorder="1" applyAlignment="1" applyProtection="1">
      <alignment/>
      <protection hidden="1"/>
    </xf>
    <xf numFmtId="168" fontId="3" fillId="0" borderId="12" xfId="49" applyNumberFormat="1" applyFont="1" applyFill="1" applyBorder="1" applyAlignment="1" applyProtection="1">
      <alignment horizontal="center"/>
      <protection/>
    </xf>
    <xf numFmtId="0" fontId="3" fillId="0" borderId="14" xfId="0" applyFont="1" applyFill="1" applyBorder="1" applyAlignment="1" applyProtection="1">
      <alignment wrapText="1"/>
      <protection hidden="1"/>
    </xf>
    <xf numFmtId="168" fontId="3" fillId="0" borderId="12" xfId="49" applyNumberFormat="1" applyFont="1" applyFill="1" applyBorder="1" applyAlignment="1" applyProtection="1">
      <alignment horizontal="right" wrapText="1"/>
      <protection/>
    </xf>
    <xf numFmtId="170" fontId="2" fillId="0" borderId="12" xfId="49" applyNumberFormat="1" applyFont="1" applyFill="1" applyBorder="1" applyAlignment="1" applyProtection="1">
      <alignment/>
      <protection/>
    </xf>
    <xf numFmtId="168" fontId="2" fillId="0" borderId="12" xfId="49" applyNumberFormat="1" applyFont="1" applyFill="1" applyBorder="1" applyAlignment="1" applyProtection="1">
      <alignment/>
      <protection/>
    </xf>
    <xf numFmtId="0" fontId="3" fillId="0" borderId="0" xfId="0" applyFont="1" applyFill="1" applyBorder="1" applyAlignment="1" applyProtection="1">
      <alignment/>
      <protection hidden="1"/>
    </xf>
    <xf numFmtId="168" fontId="3" fillId="0" borderId="0" xfId="49" applyNumberFormat="1" applyFont="1" applyFill="1" applyBorder="1" applyAlignment="1" applyProtection="1">
      <alignment/>
      <protection hidden="1"/>
    </xf>
    <xf numFmtId="10" fontId="3" fillId="0" borderId="0" xfId="58" applyNumberFormat="1" applyFont="1" applyFill="1" applyAlignment="1" applyProtection="1">
      <alignment/>
      <protection hidden="1"/>
    </xf>
    <xf numFmtId="0" fontId="0" fillId="0" borderId="0" xfId="0" applyAlignment="1" applyProtection="1">
      <alignment/>
      <protection/>
    </xf>
    <xf numFmtId="3" fontId="0" fillId="0" borderId="0" xfId="0" applyNumberFormat="1" applyAlignment="1" applyProtection="1">
      <alignment horizontal="center"/>
      <protection/>
    </xf>
    <xf numFmtId="0" fontId="0" fillId="0" borderId="0" xfId="0" applyAlignment="1" applyProtection="1">
      <alignment horizontal="center"/>
      <protection/>
    </xf>
    <xf numFmtId="0" fontId="3" fillId="33" borderId="0" xfId="0" applyFont="1" applyFill="1" applyAlignment="1" applyProtection="1">
      <alignment/>
      <protection hidden="1"/>
    </xf>
    <xf numFmtId="0" fontId="5"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168" fontId="7" fillId="0" borderId="0" xfId="49" applyNumberFormat="1" applyFont="1" applyFill="1" applyBorder="1" applyAlignment="1" applyProtection="1">
      <alignment horizontal="left"/>
      <protection hidden="1"/>
    </xf>
    <xf numFmtId="0" fontId="0" fillId="0" borderId="0" xfId="0" applyAlignment="1" applyProtection="1">
      <alignment/>
      <protection hidden="1"/>
    </xf>
    <xf numFmtId="164" fontId="3" fillId="0" borderId="0" xfId="49" applyNumberFormat="1" applyFont="1" applyFill="1" applyBorder="1" applyAlignment="1" applyProtection="1">
      <alignment horizontal="left"/>
      <protection hidden="1"/>
    </xf>
    <xf numFmtId="164" fontId="3" fillId="0" borderId="0" xfId="49" applyNumberFormat="1" applyFont="1" applyFill="1" applyBorder="1" applyAlignment="1" applyProtection="1">
      <alignment horizontal="right"/>
      <protection hidden="1"/>
    </xf>
    <xf numFmtId="0" fontId="3" fillId="33" borderId="0" xfId="0" applyFont="1" applyFill="1" applyAlignment="1" applyProtection="1">
      <alignment/>
      <protection hidden="1" locked="0"/>
    </xf>
    <xf numFmtId="0" fontId="3" fillId="0" borderId="0" xfId="0" applyFont="1" applyAlignment="1" applyProtection="1">
      <alignment/>
      <protection hidden="1" locked="0"/>
    </xf>
    <xf numFmtId="168" fontId="3" fillId="0" borderId="0" xfId="49" applyNumberFormat="1" applyFont="1" applyBorder="1" applyAlignment="1" applyProtection="1">
      <alignment/>
      <protection hidden="1"/>
    </xf>
    <xf numFmtId="0" fontId="7"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7" fillId="0" borderId="0" xfId="0" applyFont="1" applyBorder="1" applyAlignment="1" applyProtection="1">
      <alignment horizontal="left"/>
      <protection hidden="1"/>
    </xf>
    <xf numFmtId="0" fontId="3" fillId="0" borderId="0" xfId="0" applyFont="1" applyBorder="1" applyAlignment="1" applyProtection="1">
      <alignment/>
      <protection hidden="1"/>
    </xf>
    <xf numFmtId="173" fontId="2" fillId="0" borderId="0" xfId="49" applyNumberFormat="1" applyFont="1" applyBorder="1" applyAlignment="1" applyProtection="1">
      <alignment/>
      <protection hidden="1"/>
    </xf>
    <xf numFmtId="0" fontId="0" fillId="0" borderId="0" xfId="0" applyFont="1" applyBorder="1" applyAlignment="1" applyProtection="1">
      <alignment/>
      <protection hidden="1"/>
    </xf>
    <xf numFmtId="173" fontId="2" fillId="0" borderId="0" xfId="49" applyNumberFormat="1" applyFont="1" applyBorder="1" applyAlignment="1" applyProtection="1">
      <alignment horizontal="left"/>
      <protection hidden="1"/>
    </xf>
    <xf numFmtId="168" fontId="2" fillId="0" borderId="0" xfId="49" applyNumberFormat="1" applyFont="1" applyBorder="1" applyAlignment="1" applyProtection="1">
      <alignment/>
      <protection hidden="1"/>
    </xf>
    <xf numFmtId="168" fontId="0" fillId="0" borderId="0" xfId="0" applyNumberFormat="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8" fillId="0" borderId="0" xfId="0" applyFont="1" applyBorder="1" applyAlignment="1" applyProtection="1">
      <alignment/>
      <protection hidden="1" locked="0"/>
    </xf>
    <xf numFmtId="0" fontId="3" fillId="0" borderId="0" xfId="0" applyFont="1" applyAlignment="1" applyProtection="1">
      <alignment/>
      <protection/>
    </xf>
    <xf numFmtId="0" fontId="2" fillId="0" borderId="11" xfId="0" applyFont="1" applyFill="1" applyBorder="1" applyAlignment="1" applyProtection="1">
      <alignment horizontal="center" wrapText="1"/>
      <protection locked="0"/>
    </xf>
    <xf numFmtId="4" fontId="2" fillId="0" borderId="11" xfId="0"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4" fontId="3" fillId="0" borderId="0" xfId="0" applyNumberFormat="1" applyFont="1" applyFill="1" applyAlignment="1" applyProtection="1">
      <alignment wrapText="1"/>
      <protection locked="0"/>
    </xf>
    <xf numFmtId="4" fontId="3" fillId="0" borderId="0" xfId="0" applyNumberFormat="1" applyFont="1" applyFill="1" applyAlignment="1" applyProtection="1">
      <alignment/>
      <protection/>
    </xf>
    <xf numFmtId="4" fontId="3" fillId="0" borderId="0" xfId="51" applyNumberFormat="1" applyFont="1" applyFill="1" applyAlignment="1" applyProtection="1">
      <alignment/>
      <protection/>
    </xf>
    <xf numFmtId="168" fontId="109" fillId="0" borderId="0" xfId="0" applyNumberFormat="1" applyFont="1" applyAlignment="1" applyProtection="1">
      <alignment/>
      <protection/>
    </xf>
    <xf numFmtId="0" fontId="6" fillId="0" borderId="0" xfId="0" applyFont="1" applyFill="1" applyBorder="1" applyAlignment="1" applyProtection="1">
      <alignment horizontal="left"/>
      <protection hidden="1"/>
    </xf>
    <xf numFmtId="168" fontId="6" fillId="0" borderId="0" xfId="49" applyNumberFormat="1" applyFont="1" applyBorder="1" applyAlignment="1" applyProtection="1">
      <alignment/>
      <protection hidden="1"/>
    </xf>
    <xf numFmtId="0" fontId="3" fillId="0" borderId="0" xfId="0" applyFont="1" applyFill="1" applyBorder="1" applyAlignment="1" applyProtection="1" quotePrefix="1">
      <alignment/>
      <protection hidden="1"/>
    </xf>
    <xf numFmtId="0" fontId="3" fillId="0" borderId="0" xfId="0" applyFont="1" applyFill="1" applyBorder="1" applyAlignment="1" applyProtection="1" quotePrefix="1">
      <alignment horizontal="left"/>
      <protection hidden="1"/>
    </xf>
    <xf numFmtId="0" fontId="8" fillId="0" borderId="0" xfId="0" applyFont="1" applyBorder="1" applyAlignment="1" applyProtection="1">
      <alignment/>
      <protection hidden="1"/>
    </xf>
    <xf numFmtId="165" fontId="3" fillId="0" borderId="0" xfId="58" applyNumberFormat="1" applyFont="1" applyFill="1" applyBorder="1" applyAlignment="1" applyProtection="1">
      <alignment horizontal="center" vertical="center"/>
      <protection hidden="1" locked="0"/>
    </xf>
    <xf numFmtId="0" fontId="11" fillId="0" borderId="17"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168" fontId="3" fillId="0" borderId="18" xfId="49" applyNumberFormat="1" applyFont="1" applyBorder="1" applyAlignment="1" applyProtection="1">
      <alignment/>
      <protection hidden="1"/>
    </xf>
    <xf numFmtId="168" fontId="3" fillId="0" borderId="13" xfId="49" applyNumberFormat="1" applyFont="1" applyBorder="1" applyAlignment="1" applyProtection="1">
      <alignment/>
      <protection hidden="1"/>
    </xf>
    <xf numFmtId="0" fontId="3" fillId="0" borderId="19" xfId="0" applyFont="1" applyFill="1" applyBorder="1" applyAlignment="1" applyProtection="1">
      <alignment horizontal="left"/>
      <protection hidden="1"/>
    </xf>
    <xf numFmtId="168" fontId="3" fillId="0" borderId="14" xfId="49" applyNumberFormat="1" applyFont="1" applyBorder="1" applyAlignment="1" applyProtection="1">
      <alignment/>
      <protection hidden="1"/>
    </xf>
    <xf numFmtId="0" fontId="3" fillId="0" borderId="19" xfId="0" applyFont="1" applyBorder="1" applyAlignment="1" applyProtection="1">
      <alignment/>
      <protection hidden="1"/>
    </xf>
    <xf numFmtId="168" fontId="3" fillId="0" borderId="19" xfId="49" applyNumberFormat="1" applyFont="1" applyBorder="1" applyAlignment="1" applyProtection="1">
      <alignment/>
      <protection hidden="1"/>
    </xf>
    <xf numFmtId="168" fontId="9" fillId="0" borderId="0" xfId="49" applyNumberFormat="1" applyFont="1" applyBorder="1" applyAlignment="1" applyProtection="1">
      <alignment/>
      <protection hidden="1"/>
    </xf>
    <xf numFmtId="168" fontId="9" fillId="0" borderId="11" xfId="49" applyNumberFormat="1" applyFont="1" applyBorder="1" applyAlignment="1" applyProtection="1">
      <alignment/>
      <protection hidden="1"/>
    </xf>
    <xf numFmtId="168" fontId="3" fillId="0" borderId="11" xfId="49" applyNumberFormat="1" applyFont="1" applyBorder="1" applyAlignment="1" applyProtection="1">
      <alignment/>
      <protection hidden="1"/>
    </xf>
    <xf numFmtId="168" fontId="3" fillId="0" borderId="20" xfId="49" applyNumberFormat="1" applyFont="1" applyBorder="1" applyAlignment="1" applyProtection="1">
      <alignment/>
      <protection hidden="1"/>
    </xf>
    <xf numFmtId="0" fontId="8" fillId="0" borderId="19" xfId="0" applyFont="1" applyFill="1" applyBorder="1" applyAlignment="1" applyProtection="1">
      <alignment horizontal="left"/>
      <protection hidden="1"/>
    </xf>
    <xf numFmtId="168" fontId="3" fillId="0" borderId="0" xfId="49" applyNumberFormat="1" applyFont="1" applyBorder="1" applyAlignment="1" applyProtection="1">
      <alignment/>
      <protection hidden="1"/>
    </xf>
    <xf numFmtId="0" fontId="0" fillId="0" borderId="0" xfId="0" applyFont="1" applyAlignment="1" applyProtection="1">
      <alignment vertical="center"/>
      <protection hidden="1" locked="0"/>
    </xf>
    <xf numFmtId="168" fontId="3" fillId="0" borderId="0" xfId="49" applyNumberFormat="1" applyFont="1" applyFill="1" applyAlignment="1" applyProtection="1">
      <alignment/>
      <protection hidden="1" locked="0"/>
    </xf>
    <xf numFmtId="168" fontId="8" fillId="0" borderId="0" xfId="49" applyNumberFormat="1" applyFont="1" applyBorder="1" applyAlignment="1" applyProtection="1">
      <alignment horizontal="center"/>
      <protection hidden="1"/>
    </xf>
    <xf numFmtId="10" fontId="3" fillId="0" borderId="0" xfId="58" applyNumberFormat="1" applyFont="1" applyBorder="1" applyAlignment="1" applyProtection="1">
      <alignment/>
      <protection hidden="1"/>
    </xf>
    <xf numFmtId="179" fontId="3" fillId="0" borderId="0" xfId="58" applyNumberFormat="1" applyFont="1" applyBorder="1" applyAlignment="1" applyProtection="1">
      <alignment/>
      <protection hidden="1"/>
    </xf>
    <xf numFmtId="179" fontId="3" fillId="0" borderId="0" xfId="51" applyNumberFormat="1" applyFont="1" applyBorder="1" applyAlignment="1" applyProtection="1">
      <alignment/>
      <protection hidden="1"/>
    </xf>
    <xf numFmtId="168" fontId="8" fillId="0" borderId="0" xfId="49" applyNumberFormat="1" applyFont="1" applyBorder="1" applyAlignment="1" applyProtection="1">
      <alignment/>
      <protection hidden="1"/>
    </xf>
    <xf numFmtId="0" fontId="8" fillId="0" borderId="19" xfId="0" applyFont="1" applyBorder="1" applyAlignment="1" applyProtection="1">
      <alignment/>
      <protection hidden="1"/>
    </xf>
    <xf numFmtId="174" fontId="3" fillId="0" borderId="0" xfId="51" applyNumberFormat="1" applyFont="1" applyBorder="1" applyAlignment="1" applyProtection="1">
      <alignment/>
      <protection hidden="1"/>
    </xf>
    <xf numFmtId="4" fontId="3" fillId="0" borderId="0" xfId="0" applyNumberFormat="1" applyFont="1" applyFill="1" applyAlignment="1" applyProtection="1">
      <alignment/>
      <protection hidden="1"/>
    </xf>
    <xf numFmtId="4" fontId="3" fillId="0" borderId="0" xfId="49" applyNumberFormat="1" applyFont="1" applyFill="1" applyAlignment="1" applyProtection="1">
      <alignment/>
      <protection hidden="1"/>
    </xf>
    <xf numFmtId="4" fontId="3" fillId="0" borderId="0" xfId="49" applyNumberFormat="1" applyFont="1" applyFill="1" applyAlignment="1" applyProtection="1">
      <alignment/>
      <protection/>
    </xf>
    <xf numFmtId="4" fontId="3" fillId="0" borderId="0" xfId="49" applyNumberFormat="1" applyFont="1" applyFill="1" applyAlignment="1" applyProtection="1">
      <alignment/>
      <protection locked="0"/>
    </xf>
    <xf numFmtId="4" fontId="3" fillId="0" borderId="0" xfId="49" applyNumberFormat="1" applyFont="1" applyBorder="1" applyAlignment="1" applyProtection="1">
      <alignment/>
      <protection hidden="1"/>
    </xf>
    <xf numFmtId="4" fontId="3" fillId="0" borderId="0" xfId="49" applyNumberFormat="1" applyFont="1" applyFill="1" applyBorder="1" applyAlignment="1" applyProtection="1">
      <alignment/>
      <protection hidden="1"/>
    </xf>
    <xf numFmtId="0" fontId="2" fillId="0" borderId="21" xfId="0" applyFont="1" applyFill="1" applyBorder="1" applyAlignment="1" applyProtection="1">
      <alignment/>
      <protection hidden="1"/>
    </xf>
    <xf numFmtId="168" fontId="6" fillId="0" borderId="22" xfId="49" applyNumberFormat="1" applyFont="1" applyBorder="1" applyAlignment="1" applyProtection="1">
      <alignment/>
      <protection hidden="1"/>
    </xf>
    <xf numFmtId="168" fontId="2" fillId="0" borderId="22" xfId="49" applyNumberFormat="1" applyFont="1" applyFill="1" applyBorder="1" applyAlignment="1" applyProtection="1">
      <alignment horizontal="right"/>
      <protection hidden="1"/>
    </xf>
    <xf numFmtId="168" fontId="2" fillId="0" borderId="23" xfId="49" applyNumberFormat="1" applyFont="1" applyFill="1" applyBorder="1" applyAlignment="1" applyProtection="1">
      <alignment horizontal="right"/>
      <protection hidden="1"/>
    </xf>
    <xf numFmtId="168" fontId="2" fillId="0" borderId="12" xfId="49" applyNumberFormat="1" applyFont="1" applyFill="1" applyBorder="1" applyAlignment="1" applyProtection="1">
      <alignment horizontal="right"/>
      <protection hidden="1"/>
    </xf>
    <xf numFmtId="0" fontId="3" fillId="0" borderId="24" xfId="0" applyFont="1" applyFill="1" applyBorder="1" applyAlignment="1" applyProtection="1" quotePrefix="1">
      <alignment horizontal="left"/>
      <protection hidden="1"/>
    </xf>
    <xf numFmtId="0" fontId="3" fillId="0" borderId="24" xfId="0" applyFont="1" applyFill="1" applyBorder="1" applyAlignment="1" applyProtection="1">
      <alignment horizontal="left"/>
      <protection hidden="1"/>
    </xf>
    <xf numFmtId="168" fontId="0" fillId="0" borderId="0" xfId="0" applyNumberFormat="1" applyAlignment="1" applyProtection="1">
      <alignment/>
      <protection hidden="1"/>
    </xf>
    <xf numFmtId="168" fontId="8" fillId="0" borderId="11" xfId="49" applyNumberFormat="1" applyFont="1" applyBorder="1" applyAlignment="1" applyProtection="1">
      <alignment/>
      <protection hidden="1"/>
    </xf>
    <xf numFmtId="10" fontId="3" fillId="0" borderId="0" xfId="58" applyNumberFormat="1" applyFont="1" applyAlignment="1" applyProtection="1">
      <alignment/>
      <protection hidden="1"/>
    </xf>
    <xf numFmtId="0" fontId="2" fillId="0" borderId="24" xfId="0" applyFont="1" applyBorder="1" applyAlignment="1" applyProtection="1">
      <alignment horizontal="left" vertical="center"/>
      <protection hidden="1"/>
    </xf>
    <xf numFmtId="168" fontId="8" fillId="0" borderId="0" xfId="49" applyNumberFormat="1" applyFont="1" applyBorder="1" applyAlignment="1" applyProtection="1">
      <alignment/>
      <protection hidden="1"/>
    </xf>
    <xf numFmtId="169" fontId="8" fillId="0" borderId="0" xfId="58" applyNumberFormat="1" applyFont="1" applyBorder="1" applyAlignment="1" applyProtection="1">
      <alignment/>
      <protection hidden="1"/>
    </xf>
    <xf numFmtId="0" fontId="110" fillId="0" borderId="0" xfId="0" applyFont="1" applyBorder="1" applyAlignment="1" applyProtection="1">
      <alignment/>
      <protection hidden="1"/>
    </xf>
    <xf numFmtId="0" fontId="3" fillId="11" borderId="0" xfId="0" applyFont="1" applyFill="1" applyAlignment="1" applyProtection="1">
      <alignment/>
      <protection hidden="1"/>
    </xf>
    <xf numFmtId="174" fontId="3" fillId="0" borderId="0" xfId="51" applyNumberFormat="1" applyFont="1" applyFill="1" applyBorder="1" applyAlignment="1" applyProtection="1">
      <alignment/>
      <protection hidden="1"/>
    </xf>
    <xf numFmtId="0" fontId="3" fillId="0" borderId="0" xfId="0" applyFont="1" applyFill="1" applyBorder="1" applyAlignment="1" applyProtection="1">
      <alignment horizontal="left" vertical="top"/>
      <protection hidden="1"/>
    </xf>
    <xf numFmtId="179" fontId="3" fillId="33" borderId="0" xfId="0" applyNumberFormat="1" applyFont="1" applyFill="1" applyAlignment="1" applyProtection="1">
      <alignment/>
      <protection hidden="1" locked="0"/>
    </xf>
    <xf numFmtId="0" fontId="3" fillId="0" borderId="25" xfId="0" applyFont="1" applyBorder="1" applyAlignment="1" applyProtection="1">
      <alignment/>
      <protection hidden="1"/>
    </xf>
    <xf numFmtId="0" fontId="3" fillId="0" borderId="26" xfId="0" applyFont="1" applyBorder="1" applyAlignment="1" applyProtection="1">
      <alignment/>
      <protection hidden="1"/>
    </xf>
    <xf numFmtId="168" fontId="3" fillId="0" borderId="26" xfId="49" applyNumberFormat="1" applyFont="1" applyBorder="1" applyAlignment="1" applyProtection="1">
      <alignment/>
      <protection hidden="1"/>
    </xf>
    <xf numFmtId="168" fontId="3" fillId="0" borderId="27" xfId="49" applyNumberFormat="1" applyFont="1" applyBorder="1" applyAlignment="1" applyProtection="1">
      <alignment/>
      <protection hidden="1"/>
    </xf>
    <xf numFmtId="0" fontId="3" fillId="0" borderId="28" xfId="0" applyFont="1" applyBorder="1" applyAlignment="1" applyProtection="1">
      <alignment/>
      <protection hidden="1"/>
    </xf>
    <xf numFmtId="168" fontId="3" fillId="0" borderId="29" xfId="49" applyNumberFormat="1" applyFont="1" applyBorder="1" applyAlignment="1" applyProtection="1">
      <alignment/>
      <protection hidden="1"/>
    </xf>
    <xf numFmtId="0" fontId="3" fillId="0" borderId="30" xfId="0" applyFont="1" applyBorder="1" applyAlignment="1" applyProtection="1">
      <alignment/>
      <protection hidden="1"/>
    </xf>
    <xf numFmtId="0" fontId="3" fillId="0" borderId="31" xfId="0" applyFont="1" applyBorder="1" applyAlignment="1" applyProtection="1">
      <alignment/>
      <protection hidden="1"/>
    </xf>
    <xf numFmtId="168" fontId="3" fillId="0" borderId="31" xfId="49" applyNumberFormat="1" applyFont="1" applyBorder="1" applyAlignment="1" applyProtection="1">
      <alignment/>
      <protection hidden="1"/>
    </xf>
    <xf numFmtId="168" fontId="3" fillId="0" borderId="32" xfId="49" applyNumberFormat="1" applyFont="1" applyBorder="1" applyAlignment="1" applyProtection="1">
      <alignment/>
      <protection hidden="1"/>
    </xf>
    <xf numFmtId="0" fontId="7" fillId="0" borderId="31" xfId="0" applyFont="1" applyBorder="1" applyAlignment="1" applyProtection="1">
      <alignment/>
      <protection hidden="1"/>
    </xf>
    <xf numFmtId="0" fontId="3" fillId="0" borderId="31"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0" xfId="0" applyFont="1" applyBorder="1" applyAlignment="1" applyProtection="1">
      <alignment horizontal="left"/>
      <protection hidden="1"/>
    </xf>
    <xf numFmtId="0" fontId="9" fillId="0" borderId="0" xfId="0" applyFont="1" applyFill="1" applyBorder="1" applyAlignment="1" applyProtection="1">
      <alignment horizontal="left"/>
      <protection hidden="1"/>
    </xf>
    <xf numFmtId="0" fontId="10" fillId="0" borderId="0" xfId="0" applyFont="1" applyBorder="1" applyAlignment="1" applyProtection="1">
      <alignment horizontal="left"/>
      <protection hidden="1"/>
    </xf>
    <xf numFmtId="0" fontId="3" fillId="0" borderId="0" xfId="0" applyFont="1" applyFill="1" applyAlignment="1" applyProtection="1">
      <alignment/>
      <protection hidden="1"/>
    </xf>
    <xf numFmtId="0" fontId="3" fillId="0" borderId="0" xfId="0" applyFont="1" applyFill="1" applyAlignment="1" applyProtection="1">
      <alignment wrapText="1"/>
      <protection hidden="1"/>
    </xf>
    <xf numFmtId="168" fontId="3" fillId="0" borderId="29" xfId="49" applyNumberFormat="1" applyFont="1" applyFill="1" applyBorder="1" applyAlignment="1" applyProtection="1">
      <alignment/>
      <protection hidden="1"/>
    </xf>
    <xf numFmtId="0" fontId="3" fillId="33" borderId="29" xfId="0" applyFont="1" applyFill="1" applyBorder="1" applyAlignment="1" applyProtection="1">
      <alignment/>
      <protection hidden="1"/>
    </xf>
    <xf numFmtId="0" fontId="2" fillId="0" borderId="0" xfId="0" applyFont="1" applyBorder="1" applyAlignment="1" applyProtection="1">
      <alignment/>
      <protection hidden="1"/>
    </xf>
    <xf numFmtId="168" fontId="110" fillId="0" borderId="0" xfId="49" applyNumberFormat="1" applyFont="1" applyBorder="1" applyAlignment="1" applyProtection="1">
      <alignment/>
      <protection hidden="1"/>
    </xf>
    <xf numFmtId="0" fontId="111" fillId="0" borderId="0" xfId="0" applyFont="1" applyBorder="1" applyAlignment="1" applyProtection="1">
      <alignment/>
      <protection hidden="1"/>
    </xf>
    <xf numFmtId="0" fontId="0" fillId="0" borderId="28" xfId="0" applyBorder="1" applyAlignment="1">
      <alignment/>
    </xf>
    <xf numFmtId="0" fontId="0" fillId="0" borderId="30" xfId="0" applyBorder="1" applyAlignment="1">
      <alignment/>
    </xf>
    <xf numFmtId="168" fontId="2" fillId="0" borderId="32" xfId="49" applyNumberFormat="1" applyFont="1" applyFill="1" applyBorder="1" applyAlignment="1" applyProtection="1">
      <alignment horizontal="right"/>
      <protection hidden="1"/>
    </xf>
    <xf numFmtId="168" fontId="2" fillId="0" borderId="33" xfId="49" applyNumberFormat="1" applyFont="1" applyFill="1" applyBorder="1" applyAlignment="1" applyProtection="1">
      <alignment horizontal="right"/>
      <protection hidden="1"/>
    </xf>
    <xf numFmtId="0" fontId="14" fillId="0" borderId="26" xfId="0" applyFont="1" applyBorder="1" applyAlignment="1" applyProtection="1">
      <alignment horizontal="left"/>
      <protection hidden="1"/>
    </xf>
    <xf numFmtId="0" fontId="111" fillId="0" borderId="26" xfId="0" applyFont="1" applyBorder="1" applyAlignment="1" applyProtection="1">
      <alignment/>
      <protection hidden="1"/>
    </xf>
    <xf numFmtId="168" fontId="9" fillId="0" borderId="26" xfId="49" applyNumberFormat="1" applyFont="1" applyBorder="1" applyAlignment="1" applyProtection="1">
      <alignment/>
      <protection hidden="1"/>
    </xf>
    <xf numFmtId="10" fontId="3" fillId="0" borderId="26" xfId="58" applyNumberFormat="1" applyFont="1" applyBorder="1" applyAlignment="1" applyProtection="1">
      <alignment/>
      <protection hidden="1"/>
    </xf>
    <xf numFmtId="168" fontId="8" fillId="0" borderId="26" xfId="49" applyNumberFormat="1" applyFont="1" applyBorder="1" applyAlignment="1" applyProtection="1">
      <alignment/>
      <protection hidden="1"/>
    </xf>
    <xf numFmtId="169" fontId="8" fillId="0" borderId="26" xfId="58" applyNumberFormat="1" applyFont="1" applyBorder="1" applyAlignment="1" applyProtection="1">
      <alignment/>
      <protection hidden="1"/>
    </xf>
    <xf numFmtId="0" fontId="3" fillId="33" borderId="26" xfId="0" applyFont="1" applyFill="1" applyBorder="1" applyAlignment="1" applyProtection="1">
      <alignment/>
      <protection hidden="1"/>
    </xf>
    <xf numFmtId="0" fontId="3" fillId="33" borderId="0" xfId="0" applyFont="1" applyFill="1" applyBorder="1" applyAlignment="1" applyProtection="1">
      <alignment/>
      <protection hidden="1"/>
    </xf>
    <xf numFmtId="0" fontId="0" fillId="0" borderId="0" xfId="0" applyBorder="1" applyAlignment="1">
      <alignment/>
    </xf>
    <xf numFmtId="179" fontId="3" fillId="0" borderId="34" xfId="51" applyNumberFormat="1" applyFont="1" applyBorder="1" applyAlignment="1" applyProtection="1">
      <alignment/>
      <protection hidden="1" locked="0"/>
    </xf>
    <xf numFmtId="0" fontId="112" fillId="0" borderId="0" xfId="0" applyFont="1" applyBorder="1" applyAlignment="1" applyProtection="1">
      <alignment/>
      <protection hidden="1"/>
    </xf>
    <xf numFmtId="0" fontId="110" fillId="0" borderId="19" xfId="0" applyFont="1" applyFill="1" applyBorder="1" applyAlignment="1" applyProtection="1">
      <alignment horizontal="left"/>
      <protection hidden="1"/>
    </xf>
    <xf numFmtId="10" fontId="3" fillId="0" borderId="0" xfId="58" applyNumberFormat="1" applyFont="1" applyFill="1" applyAlignment="1" applyProtection="1">
      <alignment/>
      <protection hidden="1" locked="0"/>
    </xf>
    <xf numFmtId="0" fontId="3" fillId="0" borderId="0" xfId="0" applyFont="1" applyFill="1" applyAlignment="1" applyProtection="1">
      <alignment/>
      <protection hidden="1" locked="0"/>
    </xf>
    <xf numFmtId="168" fontId="3" fillId="34" borderId="0" xfId="49" applyNumberFormat="1" applyFont="1" applyFill="1" applyAlignment="1" applyProtection="1">
      <alignment/>
      <protection hidden="1"/>
    </xf>
    <xf numFmtId="0" fontId="3" fillId="34" borderId="0" xfId="0" applyFont="1" applyFill="1" applyAlignment="1" applyProtection="1">
      <alignment/>
      <protection hidden="1"/>
    </xf>
    <xf numFmtId="10" fontId="3" fillId="0" borderId="0" xfId="0" applyNumberFormat="1" applyFont="1" applyFill="1" applyAlignment="1" applyProtection="1">
      <alignment/>
      <protection hidden="1" locked="0"/>
    </xf>
    <xf numFmtId="0" fontId="7" fillId="0" borderId="11" xfId="0" applyFont="1" applyBorder="1" applyAlignment="1" applyProtection="1">
      <alignment horizontal="left"/>
      <protection hidden="1"/>
    </xf>
    <xf numFmtId="168" fontId="3" fillId="35" borderId="0" xfId="49" applyNumberFormat="1" applyFont="1" applyFill="1" applyAlignment="1" applyProtection="1">
      <alignment/>
      <protection hidden="1"/>
    </xf>
    <xf numFmtId="0" fontId="3"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168" fontId="3" fillId="0" borderId="19" xfId="49" applyNumberFormat="1" applyFont="1" applyFill="1" applyBorder="1" applyAlignment="1" applyProtection="1">
      <alignment/>
      <protection hidden="1"/>
    </xf>
    <xf numFmtId="0" fontId="3" fillId="34" borderId="0" xfId="0" applyFont="1" applyFill="1" applyBorder="1" applyAlignment="1" applyProtection="1">
      <alignment/>
      <protection hidden="1" locked="0"/>
    </xf>
    <xf numFmtId="0" fontId="3" fillId="34" borderId="0" xfId="0" applyFont="1" applyFill="1" applyBorder="1" applyAlignment="1" applyProtection="1">
      <alignment/>
      <protection hidden="1"/>
    </xf>
    <xf numFmtId="0" fontId="7" fillId="0" borderId="0" xfId="0" applyFont="1" applyFill="1" applyBorder="1" applyAlignment="1" applyProtection="1">
      <alignment horizontal="left"/>
      <protection hidden="1"/>
    </xf>
    <xf numFmtId="167" fontId="3" fillId="33" borderId="0" xfId="49" applyFont="1" applyFill="1" applyAlignment="1" applyProtection="1">
      <alignment/>
      <protection hidden="1" locked="0"/>
    </xf>
    <xf numFmtId="43" fontId="3" fillId="33" borderId="0" xfId="0" applyNumberFormat="1" applyFont="1" applyFill="1" applyAlignment="1" applyProtection="1">
      <alignment/>
      <protection hidden="1" locked="0"/>
    </xf>
    <xf numFmtId="174" fontId="3" fillId="33" borderId="0" xfId="0" applyNumberFormat="1" applyFont="1" applyFill="1" applyAlignment="1" applyProtection="1">
      <alignment/>
      <protection hidden="1" locked="0"/>
    </xf>
    <xf numFmtId="168" fontId="113" fillId="0" borderId="0" xfId="49" applyNumberFormat="1" applyFont="1" applyBorder="1" applyAlignment="1" applyProtection="1">
      <alignment horizontal="right"/>
      <protection hidden="1"/>
    </xf>
    <xf numFmtId="0" fontId="114" fillId="0" borderId="0" xfId="0" applyFont="1" applyBorder="1" applyAlignment="1" applyProtection="1">
      <alignment/>
      <protection hidden="1"/>
    </xf>
    <xf numFmtId="0" fontId="115" fillId="0" borderId="0" xfId="0" applyFont="1" applyBorder="1" applyAlignment="1" applyProtection="1">
      <alignment/>
      <protection hidden="1"/>
    </xf>
    <xf numFmtId="0" fontId="2" fillId="0" borderId="19" xfId="0" applyFont="1" applyFill="1" applyBorder="1" applyAlignment="1" applyProtection="1">
      <alignment horizontal="left"/>
      <protection hidden="1"/>
    </xf>
    <xf numFmtId="174" fontId="3" fillId="0" borderId="0" xfId="0" applyNumberFormat="1" applyFont="1" applyAlignment="1" applyProtection="1">
      <alignment/>
      <protection hidden="1"/>
    </xf>
    <xf numFmtId="168" fontId="116" fillId="0" borderId="0" xfId="49" applyNumberFormat="1" applyFont="1" applyBorder="1" applyAlignment="1" applyProtection="1">
      <alignment/>
      <protection hidden="1"/>
    </xf>
    <xf numFmtId="168" fontId="115" fillId="0" borderId="0" xfId="49" applyNumberFormat="1" applyFont="1" applyBorder="1" applyAlignment="1" applyProtection="1">
      <alignment/>
      <protection hidden="1"/>
    </xf>
    <xf numFmtId="168" fontId="3" fillId="0" borderId="35" xfId="49" applyNumberFormat="1" applyFont="1" applyBorder="1" applyAlignment="1" applyProtection="1">
      <alignment/>
      <protection hidden="1"/>
    </xf>
    <xf numFmtId="174" fontId="3" fillId="0" borderId="11" xfId="51" applyNumberFormat="1" applyFont="1" applyBorder="1" applyAlignment="1" applyProtection="1">
      <alignment/>
      <protection hidden="1"/>
    </xf>
    <xf numFmtId="179" fontId="2" fillId="0" borderId="0" xfId="51" applyNumberFormat="1" applyFont="1" applyFill="1" applyBorder="1" applyAlignment="1" applyProtection="1">
      <alignment/>
      <protection hidden="1"/>
    </xf>
    <xf numFmtId="0" fontId="17" fillId="0" borderId="0" xfId="0" applyFont="1" applyFill="1" applyBorder="1" applyAlignment="1" applyProtection="1">
      <alignment horizontal="left" vertical="top"/>
      <protection hidden="1"/>
    </xf>
    <xf numFmtId="174" fontId="117" fillId="0" borderId="0" xfId="51" applyNumberFormat="1" applyFont="1" applyFill="1" applyBorder="1" applyAlignment="1" applyProtection="1">
      <alignment vertical="top"/>
      <protection hidden="1"/>
    </xf>
    <xf numFmtId="168" fontId="3" fillId="0" borderId="36" xfId="49" applyNumberFormat="1" applyFont="1" applyBorder="1" applyAlignment="1" applyProtection="1">
      <alignment/>
      <protection hidden="1"/>
    </xf>
    <xf numFmtId="179" fontId="110" fillId="0" borderId="0" xfId="51" applyNumberFormat="1" applyFont="1" applyBorder="1" applyAlignment="1" applyProtection="1">
      <alignment/>
      <protection hidden="1"/>
    </xf>
    <xf numFmtId="165" fontId="3" fillId="0" borderId="0" xfId="58" applyNumberFormat="1" applyFont="1" applyFill="1" applyBorder="1" applyAlignment="1" applyProtection="1">
      <alignment horizontal="center" vertical="center"/>
      <protection hidden="1"/>
    </xf>
    <xf numFmtId="168" fontId="110" fillId="0" borderId="19" xfId="49" applyNumberFormat="1" applyFont="1" applyFill="1" applyBorder="1" applyAlignment="1" applyProtection="1">
      <alignment/>
      <protection hidden="1"/>
    </xf>
    <xf numFmtId="179" fontId="3" fillId="0" borderId="0" xfId="51" applyNumberFormat="1" applyFont="1" applyFill="1" applyBorder="1" applyAlignment="1" applyProtection="1">
      <alignment/>
      <protection hidden="1"/>
    </xf>
    <xf numFmtId="168" fontId="110" fillId="0" borderId="0" xfId="49" applyNumberFormat="1" applyFont="1" applyFill="1" applyBorder="1" applyAlignment="1" applyProtection="1">
      <alignment/>
      <protection hidden="1"/>
    </xf>
    <xf numFmtId="174" fontId="3" fillId="0" borderId="0" xfId="51" applyNumberFormat="1" applyFont="1" applyFill="1" applyBorder="1" applyAlignment="1" applyProtection="1">
      <alignment horizontal="center"/>
      <protection hidden="1"/>
    </xf>
    <xf numFmtId="174" fontId="2" fillId="0" borderId="0" xfId="51" applyNumberFormat="1" applyFont="1" applyBorder="1" applyAlignment="1" applyProtection="1">
      <alignment/>
      <protection hidden="1"/>
    </xf>
    <xf numFmtId="179" fontId="2" fillId="0" borderId="18" xfId="58" applyNumberFormat="1" applyFont="1" applyBorder="1" applyAlignment="1" applyProtection="1">
      <alignment/>
      <protection hidden="1"/>
    </xf>
    <xf numFmtId="0" fontId="3" fillId="0" borderId="26" xfId="0" applyFont="1" applyBorder="1" applyAlignment="1" applyProtection="1">
      <alignment/>
      <protection hidden="1" locked="0"/>
    </xf>
    <xf numFmtId="168" fontId="3" fillId="0" borderId="26" xfId="49" applyNumberFormat="1" applyFont="1" applyBorder="1" applyAlignment="1" applyProtection="1">
      <alignment/>
      <protection hidden="1" locked="0"/>
    </xf>
    <xf numFmtId="0" fontId="7" fillId="0" borderId="11" xfId="0" applyFont="1" applyBorder="1" applyAlignment="1" applyProtection="1">
      <alignment/>
      <protection hidden="1" locked="0"/>
    </xf>
    <xf numFmtId="0" fontId="3" fillId="0" borderId="0" xfId="0" applyFont="1" applyBorder="1" applyAlignment="1" applyProtection="1">
      <alignment/>
      <protection hidden="1" locked="0"/>
    </xf>
    <xf numFmtId="0" fontId="3" fillId="0" borderId="11" xfId="0" applyFont="1" applyBorder="1" applyAlignment="1" applyProtection="1">
      <alignment/>
      <protection hidden="1" locked="0"/>
    </xf>
    <xf numFmtId="0" fontId="3" fillId="0" borderId="0" xfId="0" applyFont="1" applyBorder="1" applyAlignment="1" applyProtection="1">
      <alignment horizontal="center"/>
      <protection hidden="1" locked="0"/>
    </xf>
    <xf numFmtId="168" fontId="3" fillId="0" borderId="0" xfId="49" applyNumberFormat="1" applyFont="1" applyBorder="1" applyAlignment="1" applyProtection="1">
      <alignment/>
      <protection hidden="1" locked="0"/>
    </xf>
    <xf numFmtId="179" fontId="3" fillId="0" borderId="0" xfId="51" applyNumberFormat="1" applyFont="1" applyFill="1" applyBorder="1" applyAlignment="1" applyProtection="1">
      <alignment/>
      <protection hidden="1" locked="0"/>
    </xf>
    <xf numFmtId="0" fontId="7" fillId="0" borderId="0" xfId="0" applyFont="1" applyBorder="1" applyAlignment="1" applyProtection="1">
      <alignment/>
      <protection hidden="1" locked="0"/>
    </xf>
    <xf numFmtId="169" fontId="3" fillId="0" borderId="37" xfId="58" applyNumberFormat="1" applyFont="1" applyBorder="1" applyAlignment="1" applyProtection="1">
      <alignment/>
      <protection hidden="1" locked="0"/>
    </xf>
    <xf numFmtId="169" fontId="3" fillId="0" borderId="0" xfId="58" applyNumberFormat="1" applyFont="1" applyAlignment="1" applyProtection="1">
      <alignment/>
      <protection hidden="1"/>
    </xf>
    <xf numFmtId="168" fontId="110" fillId="0" borderId="0" xfId="49" applyNumberFormat="1" applyFont="1" applyBorder="1" applyAlignment="1" applyProtection="1">
      <alignment horizontal="right"/>
      <protection hidden="1"/>
    </xf>
    <xf numFmtId="9" fontId="3" fillId="0" borderId="0" xfId="58" applyFont="1" applyBorder="1" applyAlignment="1" applyProtection="1">
      <alignment/>
      <protection hidden="1"/>
    </xf>
    <xf numFmtId="168" fontId="3" fillId="0" borderId="0" xfId="49" applyNumberFormat="1" applyFont="1" applyBorder="1" applyAlignment="1" applyProtection="1">
      <alignment horizontal="right"/>
      <protection hidden="1"/>
    </xf>
    <xf numFmtId="168" fontId="110" fillId="0" borderId="11" xfId="49" applyNumberFormat="1" applyFont="1" applyBorder="1" applyAlignment="1" applyProtection="1">
      <alignment horizontal="right"/>
      <protection hidden="1"/>
    </xf>
    <xf numFmtId="168" fontId="2" fillId="0" borderId="0" xfId="49" applyNumberFormat="1" applyFont="1" applyBorder="1" applyAlignment="1" applyProtection="1">
      <alignment horizontal="right"/>
      <protection hidden="1"/>
    </xf>
    <xf numFmtId="168" fontId="3" fillId="0" borderId="0" xfId="49" applyNumberFormat="1" applyFont="1" applyAlignment="1" applyProtection="1">
      <alignment/>
      <protection hidden="1" locked="0"/>
    </xf>
    <xf numFmtId="0" fontId="118" fillId="9" borderId="0" xfId="0" applyFont="1" applyFill="1" applyBorder="1" applyAlignment="1" applyProtection="1">
      <alignment horizontal="center"/>
      <protection/>
    </xf>
    <xf numFmtId="0" fontId="109" fillId="9" borderId="0" xfId="0" applyFont="1" applyFill="1" applyAlignment="1" applyProtection="1">
      <alignment/>
      <protection locked="0"/>
    </xf>
    <xf numFmtId="0" fontId="109" fillId="9" borderId="0" xfId="0" applyFont="1" applyFill="1" applyAlignment="1" applyProtection="1">
      <alignment/>
      <protection/>
    </xf>
    <xf numFmtId="0" fontId="118" fillId="9" borderId="0" xfId="0" applyFont="1" applyFill="1" applyAlignment="1" applyProtection="1">
      <alignment horizontal="center"/>
      <protection hidden="1"/>
    </xf>
    <xf numFmtId="3" fontId="109" fillId="9" borderId="0" xfId="0" applyNumberFormat="1" applyFont="1" applyFill="1" applyAlignment="1" applyProtection="1">
      <alignment horizontal="center"/>
      <protection/>
    </xf>
    <xf numFmtId="10" fontId="109" fillId="9" borderId="0" xfId="0" applyNumberFormat="1" applyFont="1" applyFill="1" applyAlignment="1" applyProtection="1">
      <alignment/>
      <protection locked="0"/>
    </xf>
    <xf numFmtId="10" fontId="109" fillId="9" borderId="0" xfId="0" applyNumberFormat="1" applyFont="1" applyFill="1" applyAlignment="1" applyProtection="1">
      <alignment/>
      <protection/>
    </xf>
    <xf numFmtId="172" fontId="109" fillId="9" borderId="0" xfId="58" applyNumberFormat="1" applyFont="1" applyFill="1" applyAlignment="1" applyProtection="1">
      <alignment/>
      <protection/>
    </xf>
    <xf numFmtId="10" fontId="109" fillId="9" borderId="0" xfId="58" applyNumberFormat="1" applyFont="1" applyFill="1" applyAlignment="1" applyProtection="1">
      <alignment/>
      <protection locked="0"/>
    </xf>
    <xf numFmtId="0" fontId="119" fillId="9" borderId="11" xfId="0" applyFont="1" applyFill="1" applyBorder="1" applyAlignment="1" applyProtection="1">
      <alignment horizontal="center" wrapText="1"/>
      <protection locked="0"/>
    </xf>
    <xf numFmtId="168" fontId="113" fillId="9" borderId="0" xfId="49" applyNumberFormat="1" applyFont="1" applyFill="1" applyBorder="1" applyAlignment="1" applyProtection="1">
      <alignment horizontal="center"/>
      <protection/>
    </xf>
    <xf numFmtId="168" fontId="119" fillId="9" borderId="0" xfId="49" applyNumberFormat="1" applyFont="1" applyFill="1" applyBorder="1" applyAlignment="1" applyProtection="1">
      <alignment horizontal="center"/>
      <protection/>
    </xf>
    <xf numFmtId="168" fontId="113" fillId="9" borderId="0" xfId="49" applyNumberFormat="1" applyFont="1" applyFill="1" applyBorder="1" applyAlignment="1" applyProtection="1">
      <alignment/>
      <protection/>
    </xf>
    <xf numFmtId="168" fontId="119" fillId="9" borderId="0" xfId="49" applyNumberFormat="1" applyFont="1" applyFill="1" applyBorder="1" applyAlignment="1" applyProtection="1">
      <alignment horizontal="center" vertical="center" wrapText="1"/>
      <protection/>
    </xf>
    <xf numFmtId="3" fontId="113" fillId="9" borderId="0" xfId="58" applyNumberFormat="1" applyFont="1" applyFill="1" applyBorder="1" applyAlignment="1" applyProtection="1">
      <alignment horizontal="right"/>
      <protection/>
    </xf>
    <xf numFmtId="168" fontId="119" fillId="9" borderId="0" xfId="49" applyNumberFormat="1" applyFont="1" applyFill="1" applyBorder="1" applyAlignment="1" applyProtection="1">
      <alignment/>
      <protection/>
    </xf>
    <xf numFmtId="3" fontId="0" fillId="0" borderId="0" xfId="0" applyNumberFormat="1" applyFill="1" applyAlignment="1" applyProtection="1">
      <alignment horizontal="center"/>
      <protection/>
    </xf>
    <xf numFmtId="0" fontId="0" fillId="0" borderId="0" xfId="0" applyFill="1" applyAlignment="1" applyProtection="1">
      <alignment/>
      <protection/>
    </xf>
    <xf numFmtId="0" fontId="0" fillId="0" borderId="33" xfId="0" applyFill="1" applyBorder="1" applyAlignment="1" applyProtection="1">
      <alignment/>
      <protection/>
    </xf>
    <xf numFmtId="168" fontId="2" fillId="34" borderId="38" xfId="49" applyNumberFormat="1" applyFont="1" applyFill="1" applyBorder="1" applyAlignment="1" applyProtection="1">
      <alignment/>
      <protection hidden="1"/>
    </xf>
    <xf numFmtId="0" fontId="3" fillId="34" borderId="39" xfId="0" applyFont="1" applyFill="1" applyBorder="1" applyAlignment="1" applyProtection="1">
      <alignment/>
      <protection hidden="1"/>
    </xf>
    <xf numFmtId="0" fontId="2" fillId="34" borderId="40" xfId="0" applyFont="1" applyFill="1" applyBorder="1" applyAlignment="1" applyProtection="1">
      <alignment horizontal="center"/>
      <protection hidden="1" locked="0"/>
    </xf>
    <xf numFmtId="0" fontId="2" fillId="34" borderId="39" xfId="0" applyFont="1" applyFill="1" applyBorder="1" applyAlignment="1" applyProtection="1">
      <alignment horizontal="center"/>
      <protection hidden="1" locked="0"/>
    </xf>
    <xf numFmtId="168" fontId="2" fillId="35" borderId="38" xfId="49" applyNumberFormat="1" applyFont="1" applyFill="1" applyBorder="1" applyAlignment="1" applyProtection="1">
      <alignment/>
      <protection hidden="1"/>
    </xf>
    <xf numFmtId="0" fontId="2" fillId="35" borderId="40" xfId="0" applyFont="1" applyFill="1" applyBorder="1" applyAlignment="1" applyProtection="1">
      <alignment horizontal="center"/>
      <protection hidden="1" locked="0"/>
    </xf>
    <xf numFmtId="0" fontId="120" fillId="9" borderId="0" xfId="0" applyFont="1" applyFill="1" applyAlignment="1" applyProtection="1">
      <alignment/>
      <protection locked="0"/>
    </xf>
    <xf numFmtId="0" fontId="120" fillId="9" borderId="0" xfId="0" applyFont="1" applyFill="1" applyAlignment="1" applyProtection="1">
      <alignment/>
      <protection/>
    </xf>
    <xf numFmtId="168" fontId="3" fillId="36" borderId="0" xfId="49" applyNumberFormat="1" applyFont="1" applyFill="1" applyAlignment="1" applyProtection="1">
      <alignment/>
      <protection hidden="1"/>
    </xf>
    <xf numFmtId="168" fontId="2" fillId="36" borderId="0" xfId="49" applyNumberFormat="1" applyFont="1" applyFill="1" applyAlignment="1" applyProtection="1">
      <alignment horizontal="right"/>
      <protection hidden="1"/>
    </xf>
    <xf numFmtId="0" fontId="3" fillId="36" borderId="0" xfId="0" applyFont="1" applyFill="1" applyBorder="1" applyAlignment="1" applyProtection="1">
      <alignment/>
      <protection hidden="1" locked="0"/>
    </xf>
    <xf numFmtId="0" fontId="3" fillId="36" borderId="0" xfId="0" applyFont="1" applyFill="1" applyAlignment="1" applyProtection="1">
      <alignment/>
      <protection hidden="1" locked="0"/>
    </xf>
    <xf numFmtId="0" fontId="2" fillId="36" borderId="0" xfId="0" applyFont="1" applyFill="1" applyBorder="1" applyAlignment="1" applyProtection="1">
      <alignment/>
      <protection hidden="1" locked="0"/>
    </xf>
    <xf numFmtId="168" fontId="2" fillId="36" borderId="38" xfId="49" applyNumberFormat="1" applyFont="1" applyFill="1" applyBorder="1" applyAlignment="1" applyProtection="1">
      <alignment/>
      <protection hidden="1"/>
    </xf>
    <xf numFmtId="0" fontId="2" fillId="36" borderId="40" xfId="0" applyFont="1" applyFill="1" applyBorder="1" applyAlignment="1" applyProtection="1">
      <alignment/>
      <protection hidden="1" locked="0"/>
    </xf>
    <xf numFmtId="43" fontId="3" fillId="8" borderId="0" xfId="0" applyNumberFormat="1" applyFont="1" applyFill="1" applyAlignment="1" applyProtection="1">
      <alignment/>
      <protection hidden="1" locked="0"/>
    </xf>
    <xf numFmtId="0" fontId="2" fillId="2" borderId="0" xfId="0" applyFont="1" applyFill="1" applyAlignment="1" applyProtection="1">
      <alignment/>
      <protection hidden="1" locked="0"/>
    </xf>
    <xf numFmtId="0" fontId="2" fillId="8" borderId="0" xfId="0" applyFont="1" applyFill="1" applyAlignment="1" applyProtection="1">
      <alignment/>
      <protection hidden="1" locked="0"/>
    </xf>
    <xf numFmtId="182" fontId="2" fillId="2" borderId="0" xfId="49" applyNumberFormat="1" applyFont="1" applyFill="1" applyAlignment="1" applyProtection="1">
      <alignment/>
      <protection hidden="1" locked="0"/>
    </xf>
    <xf numFmtId="0" fontId="0" fillId="0" borderId="0" xfId="0" applyFont="1" applyAlignment="1">
      <alignment/>
    </xf>
    <xf numFmtId="0" fontId="94" fillId="37" borderId="41" xfId="0" applyFont="1" applyFill="1" applyBorder="1" applyAlignment="1">
      <alignment horizontal="center" vertical="center" wrapText="1"/>
    </xf>
    <xf numFmtId="0" fontId="94" fillId="37" borderId="42" xfId="0" applyFont="1" applyFill="1" applyBorder="1" applyAlignment="1">
      <alignment horizontal="center" vertical="center" wrapText="1"/>
    </xf>
    <xf numFmtId="0" fontId="94" fillId="37" borderId="43" xfId="0" applyFont="1" applyFill="1" applyBorder="1" applyAlignment="1">
      <alignment horizontal="center" vertical="center" wrapText="1"/>
    </xf>
    <xf numFmtId="14" fontId="108" fillId="0" borderId="44" xfId="0" applyNumberFormat="1" applyFont="1" applyFill="1" applyBorder="1" applyAlignment="1">
      <alignment horizontal="center"/>
    </xf>
    <xf numFmtId="0" fontId="6" fillId="2" borderId="0" xfId="0" applyFont="1" applyFill="1" applyAlignment="1">
      <alignment horizontal="center"/>
    </xf>
    <xf numFmtId="0" fontId="121" fillId="37" borderId="0" xfId="0" applyFont="1" applyFill="1" applyBorder="1" applyAlignment="1">
      <alignment horizontal="center" vertical="center" wrapText="1"/>
    </xf>
    <xf numFmtId="168" fontId="3" fillId="11" borderId="0" xfId="49" applyNumberFormat="1" applyFont="1" applyFill="1" applyBorder="1" applyAlignment="1" applyProtection="1">
      <alignment/>
      <protection hidden="1"/>
    </xf>
    <xf numFmtId="9" fontId="3" fillId="11" borderId="0" xfId="0" applyNumberFormat="1" applyFont="1" applyFill="1" applyBorder="1" applyAlignment="1" applyProtection="1">
      <alignment/>
      <protection hidden="1" locked="0"/>
    </xf>
    <xf numFmtId="0" fontId="3" fillId="38" borderId="0" xfId="0" applyFont="1" applyFill="1" applyAlignment="1" applyProtection="1">
      <alignment/>
      <protection hidden="1" locked="0"/>
    </xf>
    <xf numFmtId="178" fontId="115" fillId="2" borderId="0" xfId="0" applyNumberFormat="1" applyFont="1" applyFill="1" applyAlignment="1" applyProtection="1">
      <alignment/>
      <protection hidden="1" locked="0"/>
    </xf>
    <xf numFmtId="183" fontId="3" fillId="33" borderId="0" xfId="49" applyNumberFormat="1" applyFont="1" applyFill="1" applyAlignment="1" applyProtection="1">
      <alignment/>
      <protection hidden="1" locked="0"/>
    </xf>
    <xf numFmtId="179" fontId="3" fillId="38" borderId="0" xfId="51" applyNumberFormat="1" applyFont="1" applyFill="1" applyBorder="1" applyAlignment="1" applyProtection="1">
      <alignment/>
      <protection hidden="1"/>
    </xf>
    <xf numFmtId="0" fontId="6" fillId="39" borderId="45" xfId="0" applyFont="1" applyFill="1" applyBorder="1" applyAlignment="1">
      <alignment horizontal="center" vertical="center" wrapText="1"/>
    </xf>
    <xf numFmtId="0" fontId="6" fillId="39" borderId="46" xfId="0" applyFont="1" applyFill="1" applyBorder="1" applyAlignment="1">
      <alignment horizontal="center" vertical="center" wrapText="1"/>
    </xf>
    <xf numFmtId="0" fontId="6" fillId="40" borderId="47" xfId="0" applyFont="1" applyFill="1" applyBorder="1" applyAlignment="1">
      <alignment horizontal="center" vertical="center" wrapText="1"/>
    </xf>
    <xf numFmtId="9" fontId="6" fillId="0" borderId="47" xfId="0" applyNumberFormat="1" applyFont="1" applyBorder="1" applyAlignment="1">
      <alignment horizontal="center" vertical="center" wrapText="1"/>
    </xf>
    <xf numFmtId="0" fontId="0" fillId="39" borderId="47" xfId="0" applyFill="1" applyBorder="1" applyAlignment="1">
      <alignment vertical="center" wrapText="1"/>
    </xf>
    <xf numFmtId="0" fontId="108" fillId="0" borderId="48" xfId="0" applyFont="1" applyFill="1" applyBorder="1" applyAlignment="1">
      <alignment vertical="center" wrapText="1"/>
    </xf>
    <xf numFmtId="0" fontId="122" fillId="0" borderId="0" xfId="0" applyFont="1" applyAlignment="1">
      <alignment/>
    </xf>
    <xf numFmtId="0" fontId="122" fillId="0" borderId="0" xfId="0" applyFont="1" applyBorder="1" applyAlignment="1">
      <alignment/>
    </xf>
    <xf numFmtId="0" fontId="122" fillId="0" borderId="0" xfId="0" applyFont="1" applyFill="1" applyBorder="1" applyAlignment="1">
      <alignment/>
    </xf>
    <xf numFmtId="0" fontId="122" fillId="0" borderId="0" xfId="0" applyFont="1" applyFill="1" applyAlignment="1">
      <alignment/>
    </xf>
    <xf numFmtId="0" fontId="122" fillId="0" borderId="0" xfId="0" applyFont="1" applyFill="1" applyBorder="1" applyAlignment="1">
      <alignment vertical="center" wrapText="1"/>
    </xf>
    <xf numFmtId="1" fontId="109" fillId="9" borderId="0" xfId="0" applyNumberFormat="1" applyFont="1" applyFill="1" applyAlignment="1" applyProtection="1">
      <alignment/>
      <protection/>
    </xf>
    <xf numFmtId="174" fontId="3" fillId="0" borderId="0" xfId="0" applyNumberFormat="1" applyFont="1" applyBorder="1" applyAlignment="1" applyProtection="1">
      <alignment/>
      <protection hidden="1" locked="0"/>
    </xf>
    <xf numFmtId="10" fontId="3" fillId="0" borderId="0" xfId="58" applyNumberFormat="1" applyFont="1" applyFill="1" applyBorder="1" applyAlignment="1" applyProtection="1">
      <alignment horizontal="center" vertical="center"/>
      <protection hidden="1" locked="0"/>
    </xf>
    <xf numFmtId="173" fontId="6" fillId="0" borderId="31" xfId="49" applyNumberFormat="1" applyFont="1" applyBorder="1" applyAlignment="1" applyProtection="1">
      <alignment horizontal="left"/>
      <protection hidden="1" locked="0"/>
    </xf>
    <xf numFmtId="168" fontId="3" fillId="35" borderId="48" xfId="49" applyNumberFormat="1" applyFont="1" applyFill="1" applyBorder="1" applyAlignment="1" applyProtection="1">
      <alignment/>
      <protection hidden="1"/>
    </xf>
    <xf numFmtId="0" fontId="3" fillId="35" borderId="48" xfId="0" applyFont="1" applyFill="1" applyBorder="1" applyAlignment="1" applyProtection="1">
      <alignment/>
      <protection hidden="1"/>
    </xf>
    <xf numFmtId="0" fontId="8" fillId="0" borderId="0" xfId="0" applyFont="1" applyBorder="1" applyAlignment="1" applyProtection="1">
      <alignment horizontal="left" vertical="top"/>
      <protection hidden="1"/>
    </xf>
    <xf numFmtId="0" fontId="8" fillId="0" borderId="0" xfId="0" applyFont="1" applyFill="1" applyBorder="1" applyAlignment="1" applyProtection="1">
      <alignment horizontal="left" vertical="top"/>
      <protection hidden="1"/>
    </xf>
    <xf numFmtId="8" fontId="109" fillId="9" borderId="0" xfId="0" applyNumberFormat="1" applyFont="1" applyFill="1" applyAlignment="1" applyProtection="1">
      <alignment/>
      <protection/>
    </xf>
    <xf numFmtId="165" fontId="3" fillId="0" borderId="34" xfId="58" applyNumberFormat="1" applyFont="1" applyFill="1" applyBorder="1" applyAlignment="1" applyProtection="1">
      <alignment horizontal="center" vertical="center"/>
      <protection hidden="1" locked="0"/>
    </xf>
    <xf numFmtId="0" fontId="3" fillId="35" borderId="48" xfId="0" applyFont="1" applyFill="1" applyBorder="1" applyAlignment="1" applyProtection="1">
      <alignment/>
      <protection hidden="1" locked="0"/>
    </xf>
    <xf numFmtId="1" fontId="3" fillId="0" borderId="19" xfId="49" applyNumberFormat="1" applyFont="1" applyBorder="1" applyAlignment="1" applyProtection="1">
      <alignment horizontal="center"/>
      <protection hidden="1"/>
    </xf>
    <xf numFmtId="1" fontId="3" fillId="0" borderId="35" xfId="49" applyNumberFormat="1" applyFont="1" applyBorder="1" applyAlignment="1" applyProtection="1">
      <alignment horizontal="center"/>
      <protection hidden="1"/>
    </xf>
    <xf numFmtId="0" fontId="2" fillId="9" borderId="17" xfId="0" applyFont="1" applyFill="1" applyBorder="1" applyAlignment="1" applyProtection="1">
      <alignment/>
      <protection hidden="1" locked="0"/>
    </xf>
    <xf numFmtId="0" fontId="3" fillId="9" borderId="18" xfId="0" applyFont="1" applyFill="1" applyBorder="1" applyAlignment="1" applyProtection="1">
      <alignment/>
      <protection hidden="1" locked="0"/>
    </xf>
    <xf numFmtId="0" fontId="3" fillId="9" borderId="18" xfId="0" applyFont="1" applyFill="1" applyBorder="1" applyAlignment="1" applyProtection="1">
      <alignment/>
      <protection hidden="1"/>
    </xf>
    <xf numFmtId="0" fontId="3" fillId="9" borderId="13" xfId="0" applyFont="1" applyFill="1" applyBorder="1" applyAlignment="1" applyProtection="1">
      <alignment/>
      <protection hidden="1" locked="0"/>
    </xf>
    <xf numFmtId="0" fontId="2" fillId="9" borderId="19" xfId="0" applyFont="1" applyFill="1" applyBorder="1" applyAlignment="1" applyProtection="1">
      <alignment/>
      <protection hidden="1" locked="0"/>
    </xf>
    <xf numFmtId="0" fontId="2" fillId="9" borderId="0" xfId="0" applyFont="1" applyFill="1" applyBorder="1" applyAlignment="1" applyProtection="1">
      <alignment horizontal="center"/>
      <protection hidden="1" locked="0"/>
    </xf>
    <xf numFmtId="18" fontId="2" fillId="9" borderId="0" xfId="0" applyNumberFormat="1" applyFont="1" applyFill="1" applyBorder="1" applyAlignment="1" applyProtection="1">
      <alignment horizontal="center"/>
      <protection hidden="1"/>
    </xf>
    <xf numFmtId="0" fontId="2" fillId="9" borderId="14" xfId="0" applyFont="1" applyFill="1" applyBorder="1" applyAlignment="1" applyProtection="1">
      <alignment horizontal="center"/>
      <protection hidden="1" locked="0"/>
    </xf>
    <xf numFmtId="0" fontId="3" fillId="9" borderId="19" xfId="0" applyFont="1" applyFill="1" applyBorder="1" applyAlignment="1" applyProtection="1">
      <alignment/>
      <protection hidden="1"/>
    </xf>
    <xf numFmtId="0" fontId="3" fillId="9" borderId="0" xfId="0" applyFont="1" applyFill="1" applyBorder="1" applyAlignment="1" applyProtection="1">
      <alignment/>
      <protection hidden="1" locked="0"/>
    </xf>
    <xf numFmtId="174" fontId="3" fillId="9" borderId="0" xfId="0" applyNumberFormat="1" applyFont="1" applyFill="1" applyBorder="1" applyAlignment="1" applyProtection="1">
      <alignment/>
      <protection hidden="1" locked="0"/>
    </xf>
    <xf numFmtId="174" fontId="3" fillId="9" borderId="14" xfId="0" applyNumberFormat="1" applyFont="1" applyFill="1" applyBorder="1" applyAlignment="1" applyProtection="1">
      <alignment/>
      <protection hidden="1" locked="0"/>
    </xf>
    <xf numFmtId="166" fontId="2" fillId="9" borderId="0" xfId="51" applyFont="1" applyFill="1" applyBorder="1" applyAlignment="1" applyProtection="1">
      <alignment/>
      <protection hidden="1" locked="0"/>
    </xf>
    <xf numFmtId="166" fontId="2" fillId="9" borderId="14" xfId="51" applyFont="1" applyFill="1" applyBorder="1" applyAlignment="1" applyProtection="1">
      <alignment/>
      <protection hidden="1" locked="0"/>
    </xf>
    <xf numFmtId="0" fontId="2" fillId="9" borderId="35" xfId="0" applyFont="1" applyFill="1" applyBorder="1" applyAlignment="1" applyProtection="1">
      <alignment/>
      <protection hidden="1" locked="0"/>
    </xf>
    <xf numFmtId="166" fontId="2" fillId="9" borderId="11" xfId="51" applyFont="1" applyFill="1" applyBorder="1" applyAlignment="1" applyProtection="1">
      <alignment/>
      <protection hidden="1" locked="0"/>
    </xf>
    <xf numFmtId="166" fontId="2" fillId="9" borderId="20" xfId="51" applyFont="1" applyFill="1" applyBorder="1" applyAlignment="1" applyProtection="1">
      <alignment/>
      <protection hidden="1" locked="0"/>
    </xf>
    <xf numFmtId="0" fontId="112" fillId="0" borderId="19" xfId="0" applyFont="1" applyBorder="1" applyAlignment="1" applyProtection="1">
      <alignment horizontal="center"/>
      <protection hidden="1"/>
    </xf>
    <xf numFmtId="0" fontId="112"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Fill="1" applyBorder="1" applyAlignment="1" applyProtection="1">
      <alignment horizontal="center"/>
      <protection/>
    </xf>
    <xf numFmtId="168" fontId="2" fillId="35" borderId="48" xfId="49" applyNumberFormat="1" applyFont="1" applyFill="1" applyBorder="1" applyAlignment="1" applyProtection="1">
      <alignment horizontal="center"/>
      <protection hidden="1"/>
    </xf>
    <xf numFmtId="0" fontId="0" fillId="35" borderId="48" xfId="0" applyFont="1" applyFill="1" applyBorder="1" applyAlignment="1" applyProtection="1">
      <alignment horizontal="center" vertical="center"/>
      <protection hidden="1" locked="0"/>
    </xf>
    <xf numFmtId="0" fontId="2" fillId="35" borderId="48" xfId="0" applyFont="1" applyFill="1" applyBorder="1" applyAlignment="1" applyProtection="1">
      <alignment horizontal="center"/>
      <protection hidden="1" locked="0"/>
    </xf>
    <xf numFmtId="8" fontId="3" fillId="0" borderId="0" xfId="0" applyNumberFormat="1" applyFont="1" applyAlignment="1" applyProtection="1">
      <alignment/>
      <protection hidden="1"/>
    </xf>
    <xf numFmtId="168" fontId="3" fillId="35" borderId="49" xfId="49" applyNumberFormat="1" applyFont="1" applyFill="1" applyBorder="1" applyAlignment="1" applyProtection="1">
      <alignment/>
      <protection hidden="1"/>
    </xf>
    <xf numFmtId="168" fontId="3" fillId="35" borderId="50" xfId="49" applyNumberFormat="1" applyFont="1" applyFill="1" applyBorder="1" applyAlignment="1" applyProtection="1">
      <alignment/>
      <protection hidden="1"/>
    </xf>
    <xf numFmtId="1" fontId="3" fillId="0" borderId="49" xfId="49" applyNumberFormat="1" applyFont="1" applyBorder="1" applyAlignment="1" applyProtection="1">
      <alignment horizontal="center"/>
      <protection hidden="1"/>
    </xf>
    <xf numFmtId="1" fontId="3" fillId="0" borderId="50" xfId="49" applyNumberFormat="1" applyFont="1" applyBorder="1" applyAlignment="1" applyProtection="1">
      <alignment horizontal="center"/>
      <protection hidden="1"/>
    </xf>
    <xf numFmtId="1" fontId="3" fillId="0" borderId="51" xfId="49" applyNumberFormat="1" applyFont="1" applyBorder="1" applyAlignment="1" applyProtection="1">
      <alignment horizontal="center"/>
      <protection hidden="1"/>
    </xf>
    <xf numFmtId="10" fontId="0" fillId="41" borderId="52" xfId="58" applyNumberFormat="1" applyFont="1" applyFill="1" applyBorder="1" applyAlignment="1" applyProtection="1">
      <alignment horizontal="center"/>
      <protection hidden="1"/>
    </xf>
    <xf numFmtId="0" fontId="0" fillId="35" borderId="48" xfId="0" applyFont="1" applyFill="1" applyBorder="1" applyAlignment="1" applyProtection="1">
      <alignment horizontal="center" vertical="center"/>
      <protection hidden="1" locked="0"/>
    </xf>
    <xf numFmtId="167" fontId="3" fillId="35" borderId="13" xfId="49" applyFont="1" applyFill="1" applyBorder="1" applyAlignment="1" applyProtection="1">
      <alignment horizontal="center"/>
      <protection hidden="1"/>
    </xf>
    <xf numFmtId="167" fontId="3" fillId="35" borderId="14" xfId="49" applyFont="1" applyFill="1" applyBorder="1" applyAlignment="1" applyProtection="1">
      <alignment horizontal="center"/>
      <protection hidden="1"/>
    </xf>
    <xf numFmtId="167" fontId="3" fillId="35" borderId="20" xfId="49" applyFont="1" applyFill="1" applyBorder="1" applyAlignment="1" applyProtection="1">
      <alignment horizontal="center"/>
      <protection hidden="1"/>
    </xf>
    <xf numFmtId="0" fontId="3" fillId="8" borderId="17" xfId="0" applyFont="1" applyFill="1" applyBorder="1" applyAlignment="1" applyProtection="1">
      <alignment/>
      <protection hidden="1"/>
    </xf>
    <xf numFmtId="0" fontId="2" fillId="8" borderId="18" xfId="0" applyFont="1" applyFill="1" applyBorder="1" applyAlignment="1" applyProtection="1">
      <alignment horizontal="center"/>
      <protection hidden="1"/>
    </xf>
    <xf numFmtId="0" fontId="3" fillId="8" borderId="18" xfId="0" applyFont="1" applyFill="1" applyBorder="1" applyAlignment="1" applyProtection="1">
      <alignment/>
      <protection hidden="1" locked="0"/>
    </xf>
    <xf numFmtId="0" fontId="3" fillId="8" borderId="13" xfId="0" applyFont="1" applyFill="1" applyBorder="1" applyAlignment="1" applyProtection="1">
      <alignment/>
      <protection hidden="1" locked="0"/>
    </xf>
    <xf numFmtId="0" fontId="2" fillId="8" borderId="19" xfId="0" applyFont="1" applyFill="1" applyBorder="1" applyAlignment="1" applyProtection="1">
      <alignment/>
      <protection hidden="1"/>
    </xf>
    <xf numFmtId="174" fontId="3" fillId="8" borderId="0" xfId="0" applyNumberFormat="1" applyFont="1" applyFill="1" applyBorder="1" applyAlignment="1" applyProtection="1">
      <alignment/>
      <protection hidden="1" locked="0"/>
    </xf>
    <xf numFmtId="0" fontId="3" fillId="8" borderId="0" xfId="0" applyFont="1" applyFill="1" applyBorder="1" applyAlignment="1" applyProtection="1">
      <alignment/>
      <protection hidden="1" locked="0"/>
    </xf>
    <xf numFmtId="165" fontId="3" fillId="8" borderId="0" xfId="0" applyNumberFormat="1" applyFont="1" applyFill="1" applyBorder="1" applyAlignment="1" applyProtection="1">
      <alignment/>
      <protection hidden="1" locked="0"/>
    </xf>
    <xf numFmtId="168" fontId="3" fillId="8" borderId="0" xfId="0" applyNumberFormat="1" applyFont="1" applyFill="1" applyBorder="1" applyAlignment="1" applyProtection="1">
      <alignment/>
      <protection hidden="1" locked="0"/>
    </xf>
    <xf numFmtId="174" fontId="3" fillId="8" borderId="14" xfId="0" applyNumberFormat="1" applyFont="1" applyFill="1" applyBorder="1" applyAlignment="1" applyProtection="1">
      <alignment/>
      <protection hidden="1" locked="0"/>
    </xf>
    <xf numFmtId="166" fontId="3" fillId="8" borderId="0" xfId="51" applyFont="1" applyFill="1" applyBorder="1" applyAlignment="1" applyProtection="1">
      <alignment/>
      <protection hidden="1" locked="0"/>
    </xf>
    <xf numFmtId="0" fontId="3" fillId="8" borderId="19" xfId="0" applyFont="1" applyFill="1" applyBorder="1" applyAlignment="1" applyProtection="1">
      <alignment/>
      <protection hidden="1" locked="0"/>
    </xf>
    <xf numFmtId="0" fontId="3" fillId="8" borderId="14" xfId="0" applyFont="1" applyFill="1" applyBorder="1" applyAlignment="1" applyProtection="1">
      <alignment/>
      <protection hidden="1" locked="0"/>
    </xf>
    <xf numFmtId="0" fontId="3" fillId="8" borderId="35" xfId="0" applyFont="1" applyFill="1" applyBorder="1" applyAlignment="1" applyProtection="1">
      <alignment/>
      <protection hidden="1" locked="0"/>
    </xf>
    <xf numFmtId="174" fontId="3" fillId="8" borderId="11" xfId="0" applyNumberFormat="1" applyFont="1" applyFill="1" applyBorder="1" applyAlignment="1" applyProtection="1">
      <alignment/>
      <protection hidden="1" locked="0"/>
    </xf>
    <xf numFmtId="0" fontId="3" fillId="8" borderId="11" xfId="0" applyFont="1" applyFill="1" applyBorder="1" applyAlignment="1" applyProtection="1">
      <alignment/>
      <protection hidden="1" locked="0"/>
    </xf>
    <xf numFmtId="166" fontId="3" fillId="8" borderId="11" xfId="51" applyFont="1" applyFill="1" applyBorder="1" applyAlignment="1" applyProtection="1">
      <alignment/>
      <protection hidden="1" locked="0"/>
    </xf>
    <xf numFmtId="166" fontId="3" fillId="8" borderId="20" xfId="51" applyFont="1" applyFill="1" applyBorder="1" applyAlignment="1" applyProtection="1">
      <alignment/>
      <protection hidden="1" locked="0"/>
    </xf>
    <xf numFmtId="0" fontId="3" fillId="0" borderId="47" xfId="0" applyFont="1" applyBorder="1" applyAlignment="1">
      <alignment vertical="center" wrapText="1"/>
    </xf>
    <xf numFmtId="0" fontId="2" fillId="0" borderId="47" xfId="0" applyFont="1" applyBorder="1" applyAlignment="1">
      <alignment horizontal="center" vertical="center" wrapText="1"/>
    </xf>
    <xf numFmtId="9" fontId="2" fillId="0" borderId="47" xfId="0" applyNumberFormat="1" applyFont="1" applyBorder="1" applyAlignment="1">
      <alignment horizontal="center" vertical="center" wrapText="1"/>
    </xf>
    <xf numFmtId="9" fontId="2" fillId="40" borderId="47" xfId="0" applyNumberFormat="1" applyFont="1" applyFill="1" applyBorder="1" applyAlignment="1">
      <alignment horizontal="center" vertical="center" wrapText="1"/>
    </xf>
    <xf numFmtId="0" fontId="2" fillId="39" borderId="47" xfId="0" applyFont="1" applyFill="1" applyBorder="1" applyAlignment="1">
      <alignment horizontal="center" vertical="center" wrapText="1"/>
    </xf>
    <xf numFmtId="0" fontId="2" fillId="0" borderId="47" xfId="0" applyFont="1" applyBorder="1" applyAlignment="1">
      <alignment vertical="center" wrapText="1"/>
    </xf>
    <xf numFmtId="0" fontId="2" fillId="0" borderId="45" xfId="0" applyFont="1" applyBorder="1" applyAlignment="1">
      <alignment vertical="center" wrapText="1"/>
    </xf>
    <xf numFmtId="0" fontId="2" fillId="0" borderId="53" xfId="0" applyFont="1" applyBorder="1" applyAlignment="1">
      <alignment vertical="center" wrapText="1"/>
    </xf>
    <xf numFmtId="0" fontId="2" fillId="0" borderId="46" xfId="0" applyFont="1" applyBorder="1" applyAlignment="1">
      <alignment vertical="center" wrapText="1"/>
    </xf>
    <xf numFmtId="0" fontId="123" fillId="0" borderId="48" xfId="0" applyFont="1" applyBorder="1" applyAlignment="1">
      <alignment vertical="center" wrapText="1"/>
    </xf>
    <xf numFmtId="0" fontId="123" fillId="0" borderId="48" xfId="0" applyFont="1" applyBorder="1" applyAlignment="1">
      <alignment horizontal="center" vertical="center" wrapText="1"/>
    </xf>
    <xf numFmtId="10" fontId="124" fillId="0" borderId="48" xfId="0" applyNumberFormat="1" applyFont="1" applyBorder="1" applyAlignment="1">
      <alignment horizontal="center" vertical="center" wrapText="1"/>
    </xf>
    <xf numFmtId="8" fontId="123" fillId="0" borderId="48" xfId="0" applyNumberFormat="1" applyFont="1" applyBorder="1" applyAlignment="1">
      <alignment horizontal="center" vertical="center" wrapText="1"/>
    </xf>
    <xf numFmtId="10" fontId="123" fillId="0" borderId="48" xfId="0" applyNumberFormat="1" applyFont="1" applyBorder="1" applyAlignment="1">
      <alignment horizontal="center" vertical="center" wrapText="1"/>
    </xf>
    <xf numFmtId="0" fontId="123" fillId="0" borderId="48" xfId="0" applyFont="1" applyBorder="1" applyAlignment="1">
      <alignment horizontal="left" vertical="center" wrapText="1" indent="1"/>
    </xf>
    <xf numFmtId="9" fontId="123" fillId="0" borderId="48" xfId="0" applyNumberFormat="1" applyFont="1" applyBorder="1" applyAlignment="1">
      <alignment horizontal="center" vertical="center" wrapText="1"/>
    </xf>
    <xf numFmtId="0" fontId="12" fillId="41" borderId="0" xfId="0" applyFont="1" applyFill="1" applyAlignment="1">
      <alignment/>
    </xf>
    <xf numFmtId="0" fontId="8" fillId="41" borderId="0" xfId="0" applyFont="1" applyFill="1" applyAlignment="1" applyProtection="1">
      <alignment/>
      <protection hidden="1" locked="0"/>
    </xf>
    <xf numFmtId="0" fontId="8" fillId="41" borderId="0" xfId="0" applyFont="1" applyFill="1" applyAlignment="1">
      <alignment/>
    </xf>
    <xf numFmtId="0" fontId="3" fillId="41" borderId="0" xfId="0" applyFont="1" applyFill="1" applyAlignment="1" applyProtection="1">
      <alignment/>
      <protection hidden="1" locked="0"/>
    </xf>
    <xf numFmtId="167" fontId="8" fillId="41" borderId="0" xfId="49" applyFont="1" applyFill="1" applyAlignment="1">
      <alignment/>
    </xf>
    <xf numFmtId="168" fontId="8" fillId="41" borderId="0" xfId="49" applyNumberFormat="1" applyFont="1" applyFill="1" applyAlignment="1">
      <alignment/>
    </xf>
    <xf numFmtId="167" fontId="12" fillId="41" borderId="0" xfId="49" applyFont="1" applyFill="1" applyAlignment="1">
      <alignment/>
    </xf>
    <xf numFmtId="0" fontId="3" fillId="19" borderId="49" xfId="0" applyFont="1" applyFill="1" applyBorder="1" applyAlignment="1" applyProtection="1">
      <alignment horizontal="center"/>
      <protection hidden="1" locked="0"/>
    </xf>
    <xf numFmtId="9" fontId="2" fillId="19" borderId="51" xfId="0" applyNumberFormat="1" applyFont="1" applyFill="1" applyBorder="1" applyAlignment="1" applyProtection="1">
      <alignment horizontal="center"/>
      <protection hidden="1" locked="0"/>
    </xf>
    <xf numFmtId="0" fontId="3" fillId="0" borderId="0" xfId="0" applyFont="1" applyAlignment="1" applyProtection="1">
      <alignment horizontal="right"/>
      <protection hidden="1"/>
    </xf>
    <xf numFmtId="0" fontId="3" fillId="0" borderId="0" xfId="0" applyFont="1" applyBorder="1" applyAlignment="1" applyProtection="1">
      <alignment horizontal="right" vertical="top"/>
      <protection hidden="1"/>
    </xf>
    <xf numFmtId="0" fontId="0" fillId="0" borderId="0" xfId="0" applyFill="1" applyBorder="1" applyAlignment="1" applyProtection="1">
      <alignment/>
      <protection/>
    </xf>
    <xf numFmtId="9" fontId="2" fillId="0" borderId="10" xfId="58" applyFont="1" applyFill="1" applyBorder="1" applyAlignment="1" applyProtection="1">
      <alignment horizontal="center" wrapText="1"/>
      <protection hidden="1"/>
    </xf>
    <xf numFmtId="10" fontId="3" fillId="0" borderId="0" xfId="58" applyNumberFormat="1" applyFont="1" applyFill="1" applyBorder="1" applyAlignment="1" applyProtection="1">
      <alignment/>
      <protection hidden="1" locked="0"/>
    </xf>
    <xf numFmtId="9" fontId="3" fillId="0" borderId="0" xfId="58" applyFont="1" applyFill="1" applyBorder="1" applyAlignment="1" applyProtection="1">
      <alignment horizontal="centerContinuous"/>
      <protection hidden="1"/>
    </xf>
    <xf numFmtId="10" fontId="3" fillId="0" borderId="0" xfId="58" applyNumberFormat="1" applyFont="1" applyFill="1" applyBorder="1" applyAlignment="1" applyProtection="1">
      <alignment horizontal="center"/>
      <protection hidden="1" locked="0"/>
    </xf>
    <xf numFmtId="4" fontId="119" fillId="9" borderId="0" xfId="0" applyNumberFormat="1" applyFont="1" applyFill="1" applyAlignment="1" applyProtection="1">
      <alignment/>
      <protection/>
    </xf>
    <xf numFmtId="8" fontId="3" fillId="0" borderId="17" xfId="56" applyNumberFormat="1" applyFont="1" applyBorder="1" applyAlignment="1" applyProtection="1">
      <alignment horizontal="center"/>
      <protection locked="0"/>
    </xf>
    <xf numFmtId="179" fontId="3" fillId="0" borderId="13" xfId="0" applyNumberFormat="1" applyFont="1" applyFill="1" applyBorder="1" applyAlignment="1" applyProtection="1">
      <alignment/>
      <protection hidden="1"/>
    </xf>
    <xf numFmtId="8" fontId="3" fillId="0" borderId="19" xfId="56" applyNumberFormat="1" applyFont="1" applyBorder="1" applyAlignment="1" applyProtection="1">
      <alignment horizontal="center"/>
      <protection locked="0"/>
    </xf>
    <xf numFmtId="179" fontId="3" fillId="0" borderId="14" xfId="0" applyNumberFormat="1" applyFont="1" applyFill="1" applyBorder="1" applyAlignment="1" applyProtection="1">
      <alignment/>
      <protection hidden="1"/>
    </xf>
    <xf numFmtId="0" fontId="3" fillId="14" borderId="49" xfId="0" applyFont="1" applyFill="1" applyBorder="1" applyAlignment="1" applyProtection="1">
      <alignment horizontal="center"/>
      <protection hidden="1"/>
    </xf>
    <xf numFmtId="10" fontId="115" fillId="14" borderId="51" xfId="58" applyNumberFormat="1" applyFont="1" applyFill="1" applyBorder="1" applyAlignment="1" applyProtection="1">
      <alignment horizontal="center"/>
      <protection hidden="1"/>
    </xf>
    <xf numFmtId="0" fontId="125" fillId="35" borderId="48" xfId="0" applyFont="1" applyFill="1" applyBorder="1" applyAlignment="1" applyProtection="1">
      <alignment horizontal="center" vertical="center"/>
      <protection hidden="1" locked="0"/>
    </xf>
    <xf numFmtId="168" fontId="3" fillId="0" borderId="0" xfId="49" applyNumberFormat="1" applyFont="1" applyFill="1" applyAlignment="1" applyProtection="1">
      <alignment horizontal="center"/>
      <protection hidden="1"/>
    </xf>
    <xf numFmtId="174" fontId="3" fillId="0" borderId="0" xfId="0" applyNumberFormat="1" applyFont="1" applyFill="1" applyAlignment="1" applyProtection="1">
      <alignment/>
      <protection hidden="1" locked="0"/>
    </xf>
    <xf numFmtId="166" fontId="3" fillId="0" borderId="0" xfId="51" applyFont="1" applyFill="1" applyAlignment="1" applyProtection="1">
      <alignment/>
      <protection hidden="1" locked="0"/>
    </xf>
    <xf numFmtId="2" fontId="3" fillId="0" borderId="0" xfId="0" applyNumberFormat="1" applyFont="1" applyFill="1" applyAlignment="1" applyProtection="1">
      <alignment/>
      <protection hidden="1"/>
    </xf>
    <xf numFmtId="169" fontId="3" fillId="0" borderId="0" xfId="58" applyNumberFormat="1" applyFont="1" applyFill="1" applyAlignment="1" applyProtection="1">
      <alignment/>
      <protection hidden="1" locked="0"/>
    </xf>
    <xf numFmtId="0" fontId="2" fillId="13" borderId="0" xfId="0" applyFont="1" applyFill="1" applyAlignment="1" applyProtection="1">
      <alignment/>
      <protection hidden="1" locked="0"/>
    </xf>
    <xf numFmtId="166" fontId="3" fillId="13" borderId="0" xfId="51" applyFont="1" applyFill="1" applyAlignment="1" applyProtection="1">
      <alignment/>
      <protection hidden="1" locked="0"/>
    </xf>
    <xf numFmtId="0" fontId="2" fillId="13" borderId="0" xfId="0" applyFont="1" applyFill="1" applyAlignment="1" applyProtection="1">
      <alignment horizontal="center"/>
      <protection hidden="1" locked="0"/>
    </xf>
    <xf numFmtId="0" fontId="2" fillId="15" borderId="0" xfId="0" applyFont="1" applyFill="1" applyAlignment="1" applyProtection="1">
      <alignment horizontal="center"/>
      <protection hidden="1" locked="0"/>
    </xf>
    <xf numFmtId="0" fontId="2" fillId="15" borderId="0" xfId="0" applyFont="1" applyFill="1" applyAlignment="1" applyProtection="1">
      <alignment/>
      <protection hidden="1" locked="0"/>
    </xf>
    <xf numFmtId="10" fontId="3" fillId="15" borderId="0" xfId="0" applyNumberFormat="1" applyFont="1" applyFill="1" applyAlignment="1" applyProtection="1">
      <alignment/>
      <protection hidden="1" locked="0"/>
    </xf>
    <xf numFmtId="9" fontId="3" fillId="15" borderId="0" xfId="0" applyNumberFormat="1" applyFont="1" applyFill="1" applyAlignment="1" applyProtection="1">
      <alignment/>
      <protection hidden="1" locked="0"/>
    </xf>
    <xf numFmtId="168" fontId="3" fillId="15" borderId="0" xfId="49" applyNumberFormat="1" applyFont="1" applyFill="1" applyAlignment="1" applyProtection="1">
      <alignment/>
      <protection hidden="1" locked="0"/>
    </xf>
    <xf numFmtId="169" fontId="3" fillId="15" borderId="0" xfId="0" applyNumberFormat="1" applyFont="1" applyFill="1" applyAlignment="1" applyProtection="1">
      <alignment/>
      <protection hidden="1" locked="0"/>
    </xf>
    <xf numFmtId="10" fontId="2" fillId="15" borderId="0" xfId="0" applyNumberFormat="1" applyFont="1" applyFill="1" applyAlignment="1" applyProtection="1">
      <alignment/>
      <protection hidden="1" locked="0"/>
    </xf>
    <xf numFmtId="9" fontId="2" fillId="15" borderId="0" xfId="0" applyNumberFormat="1" applyFont="1" applyFill="1" applyAlignment="1" applyProtection="1">
      <alignment/>
      <protection hidden="1" locked="0"/>
    </xf>
    <xf numFmtId="168" fontId="2" fillId="15" borderId="0" xfId="49" applyNumberFormat="1" applyFont="1" applyFill="1" applyAlignment="1" applyProtection="1">
      <alignment/>
      <protection hidden="1" locked="0"/>
    </xf>
    <xf numFmtId="0" fontId="0" fillId="0" borderId="0" xfId="0" applyFont="1" applyAlignment="1">
      <alignment/>
    </xf>
    <xf numFmtId="168" fontId="3" fillId="35" borderId="49" xfId="49" applyNumberFormat="1" applyFont="1" applyFill="1" applyBorder="1" applyAlignment="1" applyProtection="1">
      <alignment horizontal="center"/>
      <protection hidden="1"/>
    </xf>
    <xf numFmtId="168" fontId="3" fillId="35" borderId="50" xfId="49" applyNumberFormat="1" applyFont="1" applyFill="1" applyBorder="1" applyAlignment="1" applyProtection="1">
      <alignment horizontal="center"/>
      <protection hidden="1"/>
    </xf>
    <xf numFmtId="168" fontId="3" fillId="35" borderId="51" xfId="49" applyNumberFormat="1"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10" fontId="109" fillId="42" borderId="0" xfId="58" applyNumberFormat="1" applyFont="1" applyFill="1" applyAlignment="1" applyProtection="1">
      <alignment/>
      <protection locked="0"/>
    </xf>
    <xf numFmtId="0" fontId="126" fillId="42" borderId="0" xfId="0" applyFont="1" applyFill="1" applyAlignment="1" applyProtection="1">
      <alignment/>
      <protection/>
    </xf>
    <xf numFmtId="3" fontId="109" fillId="42" borderId="0" xfId="0" applyNumberFormat="1" applyFont="1" applyFill="1" applyAlignment="1" applyProtection="1">
      <alignment horizontal="center"/>
      <protection/>
    </xf>
    <xf numFmtId="172" fontId="109" fillId="42" borderId="0" xfId="58" applyNumberFormat="1" applyFont="1" applyFill="1" applyAlignment="1" applyProtection="1">
      <alignment/>
      <protection/>
    </xf>
    <xf numFmtId="168" fontId="119" fillId="42" borderId="0" xfId="49" applyNumberFormat="1" applyFont="1" applyFill="1" applyBorder="1" applyAlignment="1" applyProtection="1">
      <alignment horizontal="center"/>
      <protection/>
    </xf>
    <xf numFmtId="10" fontId="127" fillId="43" borderId="0" xfId="58" applyNumberFormat="1" applyFont="1" applyFill="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lignment/>
    </xf>
    <xf numFmtId="10" fontId="0" fillId="0" borderId="0" xfId="58" applyNumberFormat="1" applyFont="1" applyFill="1" applyBorder="1" applyAlignment="1" applyProtection="1">
      <alignment horizontal="center"/>
      <protection hidden="1" locked="0"/>
    </xf>
    <xf numFmtId="10" fontId="3" fillId="7" borderId="0" xfId="58" applyNumberFormat="1" applyFont="1" applyFill="1" applyAlignment="1" applyProtection="1">
      <alignment horizontal="center"/>
      <protection hidden="1"/>
    </xf>
    <xf numFmtId="10" fontId="3" fillId="34" borderId="0" xfId="0" applyNumberFormat="1" applyFont="1" applyFill="1" applyAlignment="1" applyProtection="1">
      <alignment/>
      <protection hidden="1"/>
    </xf>
    <xf numFmtId="0" fontId="3" fillId="34" borderId="40" xfId="0" applyFont="1" applyFill="1" applyBorder="1" applyAlignment="1" applyProtection="1">
      <alignment horizontal="right"/>
      <protection hidden="1"/>
    </xf>
    <xf numFmtId="0" fontId="67" fillId="0" borderId="0" xfId="0" applyFont="1" applyAlignment="1">
      <alignment/>
    </xf>
    <xf numFmtId="0" fontId="3" fillId="16" borderId="0" xfId="0" applyFont="1" applyFill="1" applyAlignment="1" applyProtection="1">
      <alignment/>
      <protection hidden="1" locked="0"/>
    </xf>
    <xf numFmtId="0" fontId="2" fillId="16" borderId="0" xfId="0" applyFont="1" applyFill="1" applyAlignment="1">
      <alignment horizontal="center"/>
    </xf>
    <xf numFmtId="176" fontId="128" fillId="16" borderId="0" xfId="49" applyNumberFormat="1" applyFont="1" applyFill="1" applyAlignment="1">
      <alignment/>
    </xf>
    <xf numFmtId="0" fontId="0" fillId="0" borderId="0" xfId="0" applyFont="1" applyAlignment="1" applyProtection="1">
      <alignment/>
      <protection/>
    </xf>
    <xf numFmtId="167" fontId="0" fillId="41" borderId="0" xfId="49" applyFont="1" applyFill="1" applyAlignment="1">
      <alignment/>
    </xf>
    <xf numFmtId="167" fontId="23" fillId="0" borderId="0" xfId="49" applyFont="1" applyAlignment="1" applyProtection="1">
      <alignment/>
      <protection hidden="1"/>
    </xf>
    <xf numFmtId="167" fontId="8" fillId="44" borderId="0" xfId="49" applyFont="1" applyFill="1" applyAlignment="1">
      <alignment/>
    </xf>
    <xf numFmtId="0" fontId="8" fillId="44" borderId="0" xfId="0" applyFont="1" applyFill="1" applyAlignment="1" applyProtection="1">
      <alignment/>
      <protection hidden="1" locked="0"/>
    </xf>
    <xf numFmtId="167" fontId="129" fillId="41" borderId="0" xfId="49" applyFont="1" applyFill="1" applyAlignment="1">
      <alignment/>
    </xf>
    <xf numFmtId="169" fontId="6" fillId="0" borderId="0" xfId="0" applyNumberFormat="1" applyFont="1" applyAlignment="1" applyProtection="1">
      <alignment horizontal="center"/>
      <protection hidden="1"/>
    </xf>
    <xf numFmtId="9" fontId="0" fillId="0" borderId="0" xfId="58" applyFont="1" applyAlignment="1" applyProtection="1">
      <alignment/>
      <protection/>
    </xf>
    <xf numFmtId="4" fontId="0" fillId="0" borderId="0" xfId="0" applyNumberFormat="1" applyAlignment="1">
      <alignment/>
    </xf>
    <xf numFmtId="0" fontId="24" fillId="0" borderId="0" xfId="0" applyFont="1" applyAlignment="1" applyProtection="1">
      <alignment horizontal="left"/>
      <protection/>
    </xf>
    <xf numFmtId="3" fontId="23" fillId="0" borderId="0" xfId="0" applyNumberFormat="1" applyFont="1" applyAlignment="1">
      <alignment/>
    </xf>
    <xf numFmtId="8" fontId="0" fillId="0" borderId="0" xfId="0" applyNumberFormat="1" applyAlignment="1" applyProtection="1">
      <alignment/>
      <protection/>
    </xf>
    <xf numFmtId="184" fontId="109" fillId="9" borderId="0" xfId="0" applyNumberFormat="1" applyFont="1" applyFill="1" applyAlignment="1" applyProtection="1">
      <alignment/>
      <protection/>
    </xf>
    <xf numFmtId="177" fontId="3" fillId="0" borderId="0" xfId="49" applyNumberFormat="1" applyFont="1" applyAlignment="1" applyProtection="1">
      <alignment/>
      <protection/>
    </xf>
    <xf numFmtId="0" fontId="3" fillId="0" borderId="0" xfId="0" applyFont="1" applyAlignment="1" applyProtection="1">
      <alignment horizontal="center"/>
      <protection/>
    </xf>
    <xf numFmtId="0" fontId="12" fillId="7" borderId="0" xfId="0" applyFont="1" applyFill="1" applyAlignment="1">
      <alignment/>
    </xf>
    <xf numFmtId="0" fontId="0" fillId="7" borderId="0" xfId="0" applyFont="1" applyFill="1" applyAlignment="1" applyProtection="1">
      <alignment horizontal="center"/>
      <protection/>
    </xf>
    <xf numFmtId="0" fontId="8" fillId="0" borderId="0" xfId="0" applyFont="1" applyAlignment="1" applyProtection="1">
      <alignment/>
      <protection/>
    </xf>
    <xf numFmtId="185" fontId="8" fillId="0" borderId="0" xfId="0" applyNumberFormat="1" applyFont="1" applyAlignment="1" applyProtection="1">
      <alignment/>
      <protection/>
    </xf>
    <xf numFmtId="167" fontId="3" fillId="0" borderId="0" xfId="49" applyFont="1" applyFill="1" applyAlignment="1" applyProtection="1">
      <alignment/>
      <protection/>
    </xf>
    <xf numFmtId="0" fontId="6" fillId="7" borderId="0" xfId="0" applyFont="1" applyFill="1" applyAlignment="1">
      <alignment/>
    </xf>
    <xf numFmtId="168" fontId="119" fillId="0" borderId="0" xfId="49" applyNumberFormat="1" applyFont="1" applyFill="1" applyBorder="1" applyAlignment="1" applyProtection="1">
      <alignment/>
      <protection/>
    </xf>
    <xf numFmtId="168" fontId="113" fillId="0" borderId="0" xfId="49" applyNumberFormat="1" applyFont="1" applyFill="1" applyBorder="1" applyAlignment="1" applyProtection="1">
      <alignment/>
      <protection/>
    </xf>
    <xf numFmtId="0" fontId="109" fillId="0" borderId="0" xfId="0" applyFont="1" applyFill="1" applyAlignment="1" applyProtection="1">
      <alignment/>
      <protection/>
    </xf>
    <xf numFmtId="0" fontId="109" fillId="0" borderId="0" xfId="0" applyFont="1" applyFill="1" applyBorder="1" applyAlignment="1" applyProtection="1">
      <alignment/>
      <protection/>
    </xf>
    <xf numFmtId="168" fontId="3" fillId="45" borderId="0" xfId="49" applyNumberFormat="1" applyFont="1" applyFill="1" applyAlignment="1" applyProtection="1">
      <alignment/>
      <protection hidden="1"/>
    </xf>
    <xf numFmtId="0" fontId="3" fillId="45" borderId="0" xfId="0" applyFont="1" applyFill="1" applyAlignment="1" applyProtection="1">
      <alignment/>
      <protection hidden="1"/>
    </xf>
    <xf numFmtId="0" fontId="3" fillId="45" borderId="0" xfId="0" applyFont="1" applyFill="1" applyAlignment="1" applyProtection="1">
      <alignment/>
      <protection hidden="1" locked="0"/>
    </xf>
    <xf numFmtId="4" fontId="24" fillId="0" borderId="0" xfId="0" applyNumberFormat="1" applyFont="1" applyAlignment="1" applyProtection="1">
      <alignment/>
      <protection/>
    </xf>
    <xf numFmtId="0" fontId="24" fillId="0" borderId="0" xfId="0" applyFont="1" applyAlignment="1" applyProtection="1">
      <alignment/>
      <protection/>
    </xf>
    <xf numFmtId="169" fontId="127" fillId="43" borderId="0" xfId="58" applyNumberFormat="1" applyFont="1" applyFill="1" applyAlignment="1" applyProtection="1">
      <alignment horizontal="center"/>
      <protection/>
    </xf>
    <xf numFmtId="186" fontId="3" fillId="0" borderId="0" xfId="49" applyNumberFormat="1" applyFont="1" applyFill="1" applyAlignment="1" applyProtection="1">
      <alignment/>
      <protection hidden="1"/>
    </xf>
    <xf numFmtId="187" fontId="3" fillId="0" borderId="0" xfId="49" applyNumberFormat="1" applyFont="1" applyAlignment="1" applyProtection="1">
      <alignment/>
      <protection hidden="1"/>
    </xf>
    <xf numFmtId="188" fontId="3" fillId="0" borderId="0" xfId="49" applyNumberFormat="1" applyFont="1" applyAlignment="1" applyProtection="1">
      <alignment/>
      <protection hidden="1"/>
    </xf>
    <xf numFmtId="177" fontId="3" fillId="0" borderId="0" xfId="49" applyNumberFormat="1" applyFont="1" applyAlignment="1" applyProtection="1">
      <alignment/>
      <protection hidden="1"/>
    </xf>
    <xf numFmtId="172" fontId="3" fillId="0" borderId="0" xfId="58" applyNumberFormat="1" applyFont="1" applyAlignment="1" applyProtection="1">
      <alignment/>
      <protection hidden="1"/>
    </xf>
    <xf numFmtId="189" fontId="3" fillId="0" borderId="0" xfId="58" applyNumberFormat="1" applyFont="1" applyAlignment="1" applyProtection="1">
      <alignment/>
      <protection hidden="1"/>
    </xf>
    <xf numFmtId="175" fontId="3" fillId="43" borderId="0" xfId="0" applyNumberFormat="1" applyFont="1" applyFill="1" applyAlignment="1" applyProtection="1">
      <alignment/>
      <protection hidden="1" locked="0"/>
    </xf>
    <xf numFmtId="0" fontId="6" fillId="39" borderId="45" xfId="0" applyFont="1" applyFill="1" applyBorder="1" applyAlignment="1">
      <alignment horizontal="center" vertical="center" wrapText="1"/>
    </xf>
    <xf numFmtId="0" fontId="6" fillId="39" borderId="46" xfId="0" applyFont="1" applyFill="1" applyBorder="1" applyAlignment="1">
      <alignment horizontal="center" vertical="center" wrapText="1"/>
    </xf>
    <xf numFmtId="0" fontId="2" fillId="46" borderId="0" xfId="0" applyFont="1" applyFill="1" applyAlignment="1" applyProtection="1">
      <alignment horizontal="left"/>
      <protection hidden="1" locked="0"/>
    </xf>
    <xf numFmtId="0" fontId="6" fillId="40" borderId="47" xfId="0" applyFont="1" applyFill="1" applyBorder="1" applyAlignment="1">
      <alignment vertical="center" wrapText="1"/>
    </xf>
    <xf numFmtId="9" fontId="130" fillId="44" borderId="0" xfId="58" applyFont="1" applyFill="1" applyAlignment="1">
      <alignment horizontal="left"/>
    </xf>
    <xf numFmtId="9" fontId="112" fillId="41" borderId="0" xfId="0" applyNumberFormat="1" applyFont="1" applyFill="1" applyAlignment="1" applyProtection="1">
      <alignment/>
      <protection hidden="1" locked="0"/>
    </xf>
    <xf numFmtId="10" fontId="3" fillId="47" borderId="13" xfId="58" applyNumberFormat="1" applyFont="1" applyFill="1" applyBorder="1" applyAlignment="1" applyProtection="1">
      <alignment horizontal="center"/>
      <protection hidden="1"/>
    </xf>
    <xf numFmtId="2" fontId="3" fillId="47" borderId="13" xfId="49" applyNumberFormat="1" applyFont="1" applyFill="1" applyBorder="1" applyAlignment="1" applyProtection="1">
      <alignment horizontal="center"/>
      <protection hidden="1"/>
    </xf>
    <xf numFmtId="10" fontId="3" fillId="47" borderId="14" xfId="58" applyNumberFormat="1" applyFont="1" applyFill="1" applyBorder="1" applyAlignment="1" applyProtection="1">
      <alignment horizontal="center"/>
      <protection hidden="1"/>
    </xf>
    <xf numFmtId="2" fontId="3" fillId="47" borderId="14" xfId="49" applyNumberFormat="1" applyFont="1" applyFill="1" applyBorder="1" applyAlignment="1" applyProtection="1">
      <alignment horizontal="center"/>
      <protection hidden="1"/>
    </xf>
    <xf numFmtId="10" fontId="3" fillId="47" borderId="20" xfId="58" applyNumberFormat="1" applyFont="1" applyFill="1" applyBorder="1" applyAlignment="1" applyProtection="1">
      <alignment horizontal="center"/>
      <protection hidden="1"/>
    </xf>
    <xf numFmtId="2" fontId="3" fillId="47" borderId="20" xfId="49" applyNumberFormat="1" applyFont="1" applyFill="1" applyBorder="1" applyAlignment="1" applyProtection="1">
      <alignment horizontal="center"/>
      <protection hidden="1"/>
    </xf>
    <xf numFmtId="0" fontId="0" fillId="47" borderId="48" xfId="0" applyFont="1" applyFill="1" applyBorder="1" applyAlignment="1" applyProtection="1">
      <alignment horizontal="center" vertical="center"/>
      <protection hidden="1" locked="0"/>
    </xf>
    <xf numFmtId="168" fontId="131" fillId="0" borderId="0" xfId="49" applyNumberFormat="1" applyFont="1" applyBorder="1" applyAlignment="1" applyProtection="1">
      <alignment horizontal="left"/>
      <protection hidden="1"/>
    </xf>
    <xf numFmtId="175" fontId="110" fillId="35" borderId="0" xfId="0" applyNumberFormat="1" applyFont="1" applyFill="1" applyAlignment="1" applyProtection="1">
      <alignment/>
      <protection hidden="1" locked="0"/>
    </xf>
    <xf numFmtId="176" fontId="132" fillId="35" borderId="0" xfId="49" applyNumberFormat="1" applyFont="1" applyFill="1" applyAlignment="1">
      <alignment/>
    </xf>
    <xf numFmtId="0" fontId="7" fillId="0" borderId="11" xfId="0" applyFont="1" applyBorder="1" applyAlignment="1" applyProtection="1">
      <alignment/>
      <protection hidden="1"/>
    </xf>
    <xf numFmtId="0" fontId="108" fillId="0" borderId="54" xfId="0" applyFont="1" applyFill="1" applyBorder="1" applyAlignment="1">
      <alignment horizontal="center"/>
    </xf>
    <xf numFmtId="0" fontId="0" fillId="0" borderId="55" xfId="0" applyBorder="1" applyAlignment="1">
      <alignment vertical="center" wrapText="1"/>
    </xf>
    <xf numFmtId="0" fontId="0" fillId="39" borderId="56" xfId="0" applyFill="1" applyBorder="1" applyAlignment="1">
      <alignment vertical="center" wrapText="1"/>
    </xf>
    <xf numFmtId="0" fontId="0" fillId="39" borderId="57" xfId="0" applyFill="1" applyBorder="1" applyAlignment="1">
      <alignment vertical="center" wrapText="1"/>
    </xf>
    <xf numFmtId="0" fontId="6" fillId="39" borderId="58" xfId="0" applyFont="1" applyFill="1" applyBorder="1" applyAlignment="1">
      <alignment vertical="center" wrapText="1"/>
    </xf>
    <xf numFmtId="0" fontId="6" fillId="39" borderId="56" xfId="0" applyFont="1" applyFill="1" applyBorder="1" applyAlignment="1">
      <alignment vertical="center" wrapText="1"/>
    </xf>
    <xf numFmtId="6" fontId="6" fillId="0" borderId="58" xfId="0" applyNumberFormat="1" applyFont="1" applyBorder="1" applyAlignment="1">
      <alignment vertical="center" wrapText="1"/>
    </xf>
    <xf numFmtId="6" fontId="6" fillId="0" borderId="57" xfId="0" applyNumberFormat="1" applyFont="1" applyBorder="1" applyAlignment="1">
      <alignment vertical="center" wrapText="1"/>
    </xf>
    <xf numFmtId="0" fontId="0" fillId="0" borderId="0" xfId="0" applyBorder="1" applyAlignment="1">
      <alignment vertical="center" wrapText="1"/>
    </xf>
    <xf numFmtId="0" fontId="6" fillId="39" borderId="49" xfId="0" applyFont="1" applyFill="1" applyBorder="1" applyAlignment="1">
      <alignment vertical="center" wrapText="1"/>
    </xf>
    <xf numFmtId="0" fontId="6" fillId="39" borderId="50" xfId="0" applyFont="1" applyFill="1" applyBorder="1" applyAlignment="1">
      <alignment vertical="center" wrapText="1"/>
    </xf>
    <xf numFmtId="0" fontId="0" fillId="39" borderId="50" xfId="0" applyFill="1" applyBorder="1" applyAlignment="1">
      <alignment vertical="center" wrapText="1"/>
    </xf>
    <xf numFmtId="0" fontId="0" fillId="39" borderId="59" xfId="0" applyFill="1" applyBorder="1" applyAlignment="1">
      <alignment vertical="center" wrapText="1"/>
    </xf>
    <xf numFmtId="6" fontId="6" fillId="0" borderId="60" xfId="0" applyNumberFormat="1" applyFont="1" applyBorder="1" applyAlignment="1">
      <alignment vertical="center" wrapText="1"/>
    </xf>
    <xf numFmtId="6" fontId="6" fillId="0" borderId="51" xfId="0" applyNumberFormat="1" applyFont="1" applyBorder="1" applyAlignment="1">
      <alignment vertical="center" wrapText="1"/>
    </xf>
    <xf numFmtId="168" fontId="3" fillId="35" borderId="14" xfId="49" applyNumberFormat="1" applyFont="1" applyFill="1" applyBorder="1" applyAlignment="1" applyProtection="1">
      <alignment/>
      <protection hidden="1"/>
    </xf>
    <xf numFmtId="10" fontId="127" fillId="9" borderId="0" xfId="0" applyNumberFormat="1" applyFont="1" applyFill="1" applyAlignment="1" applyProtection="1">
      <alignment/>
      <protection/>
    </xf>
    <xf numFmtId="179" fontId="3" fillId="0" borderId="0" xfId="0" applyNumberFormat="1" applyFont="1" applyAlignment="1" applyProtection="1">
      <alignment/>
      <protection hidden="1" locked="0"/>
    </xf>
    <xf numFmtId="3" fontId="6" fillId="0" borderId="0" xfId="0" applyNumberFormat="1" applyFont="1" applyAlignment="1" applyProtection="1">
      <alignment horizontal="left"/>
      <protection hidden="1"/>
    </xf>
    <xf numFmtId="3" fontId="0" fillId="0" borderId="0" xfId="0" applyNumberFormat="1" applyAlignment="1" applyProtection="1">
      <alignment horizontal="center"/>
      <protection hidden="1"/>
    </xf>
    <xf numFmtId="3" fontId="0" fillId="0" borderId="0" xfId="0" applyNumberFormat="1" applyFill="1" applyAlignment="1" applyProtection="1">
      <alignment horizontal="center"/>
      <protection hidden="1"/>
    </xf>
    <xf numFmtId="0" fontId="0" fillId="0" borderId="0" xfId="0" applyFont="1" applyFill="1" applyBorder="1" applyAlignment="1" applyProtection="1" quotePrefix="1">
      <alignment horizontal="left"/>
      <protection hidden="1"/>
    </xf>
    <xf numFmtId="0" fontId="3" fillId="0" borderId="0" xfId="0" applyFont="1" applyAlignment="1" applyProtection="1">
      <alignment/>
      <protection hidden="1"/>
    </xf>
    <xf numFmtId="169" fontId="3" fillId="0" borderId="0" xfId="0" applyNumberFormat="1" applyFont="1" applyAlignment="1" applyProtection="1">
      <alignment horizontal="center"/>
      <protection hidden="1"/>
    </xf>
    <xf numFmtId="8" fontId="0" fillId="0" borderId="0" xfId="0" applyNumberFormat="1" applyAlignment="1" applyProtection="1">
      <alignment/>
      <protection hidden="1"/>
    </xf>
    <xf numFmtId="3" fontId="0" fillId="0" borderId="0" xfId="0" applyNumberFormat="1" applyAlignment="1" applyProtection="1">
      <alignment/>
      <protection hidden="1"/>
    </xf>
    <xf numFmtId="0" fontId="133" fillId="0" borderId="0" xfId="0" applyFont="1" applyFill="1" applyBorder="1" applyAlignment="1" applyProtection="1" quotePrefix="1">
      <alignment horizontal="left"/>
      <protection hidden="1"/>
    </xf>
    <xf numFmtId="10" fontId="0" fillId="0" borderId="0" xfId="58" applyNumberFormat="1" applyFont="1" applyAlignment="1" applyProtection="1">
      <alignment/>
      <protection hidden="1"/>
    </xf>
    <xf numFmtId="178" fontId="3" fillId="0" borderId="0" xfId="58" applyNumberFormat="1" applyFont="1" applyAlignment="1" applyProtection="1">
      <alignment/>
      <protection hidden="1"/>
    </xf>
    <xf numFmtId="0" fontId="0" fillId="0" borderId="0" xfId="0" applyFill="1" applyAlignment="1" applyProtection="1">
      <alignment/>
      <protection hidden="1"/>
    </xf>
    <xf numFmtId="0" fontId="2" fillId="0" borderId="10" xfId="0" applyFont="1" applyFill="1" applyBorder="1" applyAlignment="1" applyProtection="1">
      <alignment horizontal="center" wrapText="1"/>
      <protection hidden="1"/>
    </xf>
    <xf numFmtId="0" fontId="3" fillId="0" borderId="22" xfId="0" applyFont="1" applyFill="1" applyBorder="1" applyAlignment="1" applyProtection="1">
      <alignment horizontal="center"/>
      <protection hidden="1"/>
    </xf>
    <xf numFmtId="168" fontId="2" fillId="0" borderId="22" xfId="49" applyNumberFormat="1" applyFont="1" applyFill="1" applyBorder="1" applyAlignment="1" applyProtection="1">
      <alignment horizontal="center"/>
      <protection hidden="1"/>
    </xf>
    <xf numFmtId="0" fontId="2" fillId="0" borderId="22" xfId="0" applyFont="1" applyFill="1" applyBorder="1" applyAlignment="1" applyProtection="1">
      <alignment horizontal="center" wrapText="1"/>
      <protection hidden="1"/>
    </xf>
    <xf numFmtId="168" fontId="3" fillId="0" borderId="23" xfId="49" applyNumberFormat="1" applyFont="1" applyFill="1" applyBorder="1" applyAlignment="1" applyProtection="1">
      <alignment horizontal="center"/>
      <protection hidden="1"/>
    </xf>
    <xf numFmtId="0" fontId="3" fillId="0" borderId="61" xfId="0" applyFont="1" applyFill="1" applyBorder="1" applyAlignment="1" applyProtection="1">
      <alignment/>
      <protection hidden="1"/>
    </xf>
    <xf numFmtId="0" fontId="3" fillId="0" borderId="61" xfId="0" applyFont="1" applyFill="1" applyBorder="1" applyAlignment="1" applyProtection="1">
      <alignment wrapText="1"/>
      <protection hidden="1"/>
    </xf>
    <xf numFmtId="3" fontId="0" fillId="0" borderId="0" xfId="0" applyNumberFormat="1" applyFont="1" applyAlignment="1" applyProtection="1">
      <alignment/>
      <protection hidden="1"/>
    </xf>
    <xf numFmtId="0" fontId="134" fillId="11" borderId="0" xfId="0" applyFont="1" applyFill="1" applyAlignment="1">
      <alignment vertical="center"/>
    </xf>
    <xf numFmtId="0" fontId="135" fillId="11" borderId="0" xfId="0" applyFont="1" applyFill="1" applyAlignment="1" applyProtection="1">
      <alignment vertical="center"/>
      <protection hidden="1" locked="0"/>
    </xf>
    <xf numFmtId="0" fontId="136" fillId="11" borderId="0" xfId="0" applyFont="1" applyFill="1" applyAlignment="1" applyProtection="1">
      <alignment vertical="center"/>
      <protection hidden="1" locked="0"/>
    </xf>
    <xf numFmtId="0" fontId="137" fillId="11" borderId="0" xfId="0" applyFont="1" applyFill="1" applyAlignment="1">
      <alignment vertical="center"/>
    </xf>
    <xf numFmtId="0" fontId="136" fillId="11" borderId="0" xfId="0" applyFont="1" applyFill="1" applyAlignment="1">
      <alignment vertical="center"/>
    </xf>
    <xf numFmtId="176" fontId="136" fillId="11" borderId="0" xfId="0" applyNumberFormat="1" applyFont="1" applyFill="1" applyBorder="1" applyAlignment="1">
      <alignment horizontal="right" vertical="center"/>
    </xf>
    <xf numFmtId="9" fontId="136" fillId="11" borderId="0" xfId="0" applyNumberFormat="1" applyFont="1" applyFill="1" applyAlignment="1">
      <alignment vertical="center"/>
    </xf>
    <xf numFmtId="0" fontId="136" fillId="11" borderId="0" xfId="0" applyFont="1" applyFill="1" applyAlignment="1">
      <alignment horizontal="right" vertical="center"/>
    </xf>
    <xf numFmtId="0" fontId="136" fillId="11" borderId="0" xfId="0" applyFont="1" applyFill="1" applyAlignment="1">
      <alignment horizontal="center" vertical="center"/>
    </xf>
    <xf numFmtId="3" fontId="136" fillId="11" borderId="0" xfId="0" applyNumberFormat="1" applyFont="1" applyFill="1" applyAlignment="1">
      <alignment horizontal="right" vertical="center"/>
    </xf>
    <xf numFmtId="3" fontId="136" fillId="11" borderId="0" xfId="0" applyNumberFormat="1" applyFont="1" applyFill="1" applyAlignment="1">
      <alignment vertical="center"/>
    </xf>
    <xf numFmtId="9" fontId="138" fillId="11" borderId="0" xfId="58" applyFont="1" applyFill="1" applyAlignment="1">
      <alignment vertical="center"/>
    </xf>
    <xf numFmtId="4" fontId="136" fillId="11" borderId="0" xfId="0" applyNumberFormat="1" applyFont="1" applyFill="1" applyAlignment="1">
      <alignment vertical="center"/>
    </xf>
    <xf numFmtId="171" fontId="136" fillId="11" borderId="0" xfId="0" applyNumberFormat="1" applyFont="1" applyFill="1" applyAlignment="1">
      <alignment vertical="center"/>
    </xf>
    <xf numFmtId="3" fontId="137" fillId="11" borderId="48" xfId="0" applyNumberFormat="1" applyFont="1" applyFill="1" applyBorder="1" applyAlignment="1">
      <alignment vertical="center"/>
    </xf>
    <xf numFmtId="10" fontId="136" fillId="11" borderId="0" xfId="0" applyNumberFormat="1" applyFont="1" applyFill="1" applyAlignment="1">
      <alignment vertical="center"/>
    </xf>
    <xf numFmtId="10" fontId="136" fillId="2" borderId="0" xfId="0" applyNumberFormat="1" applyFont="1" applyFill="1" applyAlignment="1">
      <alignment vertical="center"/>
    </xf>
    <xf numFmtId="6" fontId="137" fillId="11" borderId="48" xfId="0" applyNumberFormat="1" applyFont="1" applyFill="1" applyBorder="1" applyAlignment="1">
      <alignment vertical="center"/>
    </xf>
    <xf numFmtId="180" fontId="135" fillId="11" borderId="48" xfId="49" applyNumberFormat="1" applyFont="1" applyFill="1" applyBorder="1" applyAlignment="1">
      <alignment vertical="center"/>
    </xf>
    <xf numFmtId="9" fontId="134" fillId="11" borderId="0" xfId="58" applyFont="1" applyFill="1" applyAlignment="1">
      <alignment vertical="center"/>
    </xf>
    <xf numFmtId="0" fontId="135" fillId="11" borderId="0" xfId="0" applyFont="1" applyFill="1" applyAlignment="1">
      <alignment horizontal="right" vertical="center"/>
    </xf>
    <xf numFmtId="0" fontId="136" fillId="11" borderId="0" xfId="0" applyFont="1" applyFill="1" applyAlignment="1">
      <alignment horizontal="left" vertical="center"/>
    </xf>
    <xf numFmtId="168" fontId="136" fillId="11" borderId="0" xfId="49" applyNumberFormat="1" applyFont="1" applyFill="1" applyAlignment="1" applyProtection="1">
      <alignment vertical="center"/>
      <protection hidden="1" locked="0"/>
    </xf>
    <xf numFmtId="9" fontId="139" fillId="15" borderId="0" xfId="0" applyNumberFormat="1" applyFont="1" applyFill="1" applyAlignment="1" applyProtection="1">
      <alignment/>
      <protection hidden="1" locked="0"/>
    </xf>
    <xf numFmtId="9" fontId="140" fillId="15" borderId="0" xfId="0" applyNumberFormat="1" applyFont="1" applyFill="1" applyAlignment="1" applyProtection="1">
      <alignment/>
      <protection hidden="1" locked="0"/>
    </xf>
    <xf numFmtId="0" fontId="141" fillId="0" borderId="1" xfId="0" applyFont="1" applyBorder="1" applyAlignment="1">
      <alignment horizontal="center" vertical="center" wrapText="1" readingOrder="1"/>
    </xf>
    <xf numFmtId="0" fontId="142" fillId="0" borderId="1" xfId="0" applyFont="1" applyBorder="1" applyAlignment="1">
      <alignment horizontal="center" vertical="center" wrapText="1" readingOrder="1"/>
    </xf>
    <xf numFmtId="0" fontId="141" fillId="48" borderId="1" xfId="0" applyFont="1" applyFill="1" applyBorder="1" applyAlignment="1">
      <alignment horizontal="center" vertical="center" wrapText="1" readingOrder="1"/>
    </xf>
    <xf numFmtId="9" fontId="143" fillId="0" borderId="1" xfId="0" applyNumberFormat="1" applyFont="1" applyBorder="1" applyAlignment="1">
      <alignment horizontal="center" vertical="center" wrapText="1" readingOrder="1"/>
    </xf>
    <xf numFmtId="9" fontId="142" fillId="48" borderId="1" xfId="0" applyNumberFormat="1" applyFont="1" applyFill="1" applyBorder="1" applyAlignment="1">
      <alignment horizontal="center" vertical="center" wrapText="1" readingOrder="1"/>
    </xf>
    <xf numFmtId="0" fontId="144" fillId="0" borderId="1" xfId="0" applyFont="1" applyBorder="1" applyAlignment="1">
      <alignment horizontal="center" vertical="center" wrapText="1" readingOrder="1"/>
    </xf>
    <xf numFmtId="0" fontId="145" fillId="0" borderId="1" xfId="0" applyFont="1" applyBorder="1" applyAlignment="1">
      <alignment horizontal="center" vertical="center" wrapText="1" readingOrder="1"/>
    </xf>
    <xf numFmtId="9" fontId="146" fillId="0" borderId="1" xfId="0" applyNumberFormat="1" applyFont="1" applyBorder="1" applyAlignment="1">
      <alignment horizontal="center" vertical="center" wrapText="1" readingOrder="1"/>
    </xf>
    <xf numFmtId="9" fontId="145" fillId="48" borderId="1" xfId="0" applyNumberFormat="1" applyFont="1" applyFill="1" applyBorder="1" applyAlignment="1">
      <alignment horizontal="center" vertical="center" wrapText="1" readingOrder="1"/>
    </xf>
    <xf numFmtId="168" fontId="12" fillId="0" borderId="19" xfId="49" applyNumberFormat="1" applyFont="1" applyBorder="1" applyAlignment="1" applyProtection="1">
      <alignment/>
      <protection hidden="1"/>
    </xf>
    <xf numFmtId="169" fontId="6" fillId="0" borderId="0" xfId="58" applyNumberFormat="1" applyFont="1" applyFill="1" applyBorder="1" applyAlignment="1" applyProtection="1">
      <alignment/>
      <protection hidden="1"/>
    </xf>
    <xf numFmtId="10" fontId="6" fillId="0" borderId="0" xfId="58" applyNumberFormat="1" applyFont="1" applyBorder="1" applyAlignment="1" applyProtection="1">
      <alignment/>
      <protection hidden="1"/>
    </xf>
    <xf numFmtId="0" fontId="6" fillId="0" borderId="10" xfId="0" applyFont="1" applyFill="1" applyBorder="1" applyAlignment="1" applyProtection="1">
      <alignment horizontal="center" wrapText="1"/>
      <protection hidden="1"/>
    </xf>
    <xf numFmtId="10" fontId="6" fillId="0" borderId="0" xfId="58" applyNumberFormat="1" applyFont="1" applyFill="1" applyAlignment="1" applyProtection="1">
      <alignment/>
      <protection hidden="1"/>
    </xf>
    <xf numFmtId="0" fontId="147" fillId="0" borderId="15" xfId="49" applyNumberFormat="1" applyFont="1" applyFill="1" applyBorder="1" applyAlignment="1" applyProtection="1" quotePrefix="1">
      <alignment horizontal="right"/>
      <protection hidden="1"/>
    </xf>
    <xf numFmtId="0" fontId="0" fillId="0" borderId="0" xfId="55" applyProtection="1">
      <alignment/>
      <protection hidden="1"/>
    </xf>
    <xf numFmtId="14" fontId="0" fillId="0" borderId="0" xfId="0" applyNumberFormat="1" applyAlignment="1">
      <alignment/>
    </xf>
    <xf numFmtId="14" fontId="24" fillId="0" borderId="0" xfId="0" applyNumberFormat="1" applyFont="1" applyAlignment="1" applyProtection="1">
      <alignment horizontal="left"/>
      <protection/>
    </xf>
    <xf numFmtId="14" fontId="3" fillId="0" borderId="0" xfId="0" applyNumberFormat="1" applyFont="1" applyAlignment="1" applyProtection="1">
      <alignment/>
      <protection/>
    </xf>
    <xf numFmtId="14" fontId="109" fillId="0" borderId="0" xfId="0" applyNumberFormat="1" applyFont="1" applyFill="1" applyAlignment="1" applyProtection="1">
      <alignment/>
      <protection/>
    </xf>
    <xf numFmtId="0" fontId="12" fillId="0" borderId="0" xfId="0" applyFont="1" applyFill="1" applyAlignment="1" applyProtection="1">
      <alignment vertical="center"/>
      <protection hidden="1"/>
    </xf>
    <xf numFmtId="0" fontId="2" fillId="0" borderId="0" xfId="0" applyFont="1" applyFill="1" applyAlignment="1" applyProtection="1">
      <alignment horizontal="center" vertical="center" wrapText="1"/>
      <protection hidden="1"/>
    </xf>
    <xf numFmtId="0" fontId="12" fillId="0" borderId="55" xfId="0" applyFont="1" applyFill="1" applyBorder="1" applyAlignment="1" applyProtection="1">
      <alignment vertical="center"/>
      <protection hidden="1"/>
    </xf>
    <xf numFmtId="0" fontId="0" fillId="0" borderId="0" xfId="0" applyFill="1" applyAlignment="1" applyProtection="1">
      <alignment horizontal="right"/>
      <protection hidden="1"/>
    </xf>
    <xf numFmtId="0" fontId="18" fillId="0" borderId="58" xfId="0" applyFont="1" applyFill="1" applyBorder="1" applyAlignment="1" applyProtection="1">
      <alignment vertical="center" wrapText="1"/>
      <protection hidden="1"/>
    </xf>
    <xf numFmtId="0" fontId="31" fillId="0" borderId="45" xfId="0" applyFont="1" applyFill="1" applyBorder="1" applyAlignment="1" applyProtection="1">
      <alignment horizontal="center" vertical="center" wrapText="1"/>
      <protection hidden="1"/>
    </xf>
    <xf numFmtId="0" fontId="18" fillId="0" borderId="45" xfId="55" applyFont="1" applyFill="1" applyBorder="1" applyAlignment="1" applyProtection="1">
      <alignment horizontal="center" vertical="center" wrapText="1"/>
      <protection hidden="1"/>
    </xf>
    <xf numFmtId="0" fontId="18" fillId="0" borderId="45" xfId="0" applyFont="1" applyFill="1" applyBorder="1" applyAlignment="1" applyProtection="1">
      <alignment horizontal="center" vertical="center" wrapText="1"/>
      <protection hidden="1"/>
    </xf>
    <xf numFmtId="0" fontId="31" fillId="0" borderId="46" xfId="0" applyFont="1" applyFill="1" applyBorder="1" applyAlignment="1" applyProtection="1">
      <alignment horizontal="center" vertical="center" wrapText="1"/>
      <protection hidden="1"/>
    </xf>
    <xf numFmtId="0" fontId="18" fillId="0" borderId="46" xfId="55" applyFont="1" applyFill="1" applyBorder="1" applyAlignment="1" applyProtection="1">
      <alignment horizontal="center" vertical="center" wrapText="1"/>
      <protection hidden="1"/>
    </xf>
    <xf numFmtId="0" fontId="18" fillId="0" borderId="46" xfId="0" applyFont="1" applyFill="1" applyBorder="1" applyAlignment="1" applyProtection="1">
      <alignment horizontal="center" vertical="center" wrapText="1"/>
      <protection hidden="1"/>
    </xf>
    <xf numFmtId="169" fontId="31" fillId="0" borderId="45" xfId="0" applyNumberFormat="1" applyFont="1" applyFill="1" applyBorder="1" applyAlignment="1" applyProtection="1">
      <alignment horizontal="center" vertical="center" wrapText="1"/>
      <protection hidden="1"/>
    </xf>
    <xf numFmtId="10" fontId="31" fillId="0" borderId="45" xfId="0" applyNumberFormat="1" applyFont="1" applyFill="1" applyBorder="1" applyAlignment="1" applyProtection="1">
      <alignment horizontal="center" vertical="center" wrapText="1"/>
      <protection hidden="1"/>
    </xf>
    <xf numFmtId="8" fontId="19" fillId="0" borderId="45" xfId="0" applyNumberFormat="1" applyFont="1" applyFill="1" applyBorder="1" applyAlignment="1" applyProtection="1">
      <alignment horizontal="center" vertical="center" wrapText="1"/>
      <protection hidden="1"/>
    </xf>
    <xf numFmtId="0" fontId="19" fillId="0" borderId="53" xfId="0" applyFont="1" applyFill="1" applyBorder="1" applyAlignment="1" applyProtection="1">
      <alignment horizontal="center" vertical="center" wrapText="1"/>
      <protection hidden="1"/>
    </xf>
    <xf numFmtId="10" fontId="19" fillId="0" borderId="53" xfId="0" applyNumberFormat="1" applyFont="1" applyFill="1" applyBorder="1" applyAlignment="1" applyProtection="1">
      <alignment horizontal="center" vertical="center" wrapText="1"/>
      <protection hidden="1"/>
    </xf>
    <xf numFmtId="10" fontId="18" fillId="0" borderId="53" xfId="58" applyNumberFormat="1" applyFont="1" applyFill="1" applyBorder="1" applyAlignment="1" applyProtection="1">
      <alignment horizontal="center" vertical="center" wrapText="1"/>
      <protection hidden="1"/>
    </xf>
    <xf numFmtId="0" fontId="19" fillId="0" borderId="46" xfId="0" applyFont="1" applyFill="1" applyBorder="1" applyAlignment="1" applyProtection="1">
      <alignment horizontal="center" vertical="center" wrapText="1"/>
      <protection hidden="1"/>
    </xf>
    <xf numFmtId="10" fontId="19" fillId="0" borderId="46" xfId="0" applyNumberFormat="1" applyFont="1" applyFill="1" applyBorder="1" applyAlignment="1" applyProtection="1">
      <alignment horizontal="center" vertical="center" wrapText="1"/>
      <protection hidden="1"/>
    </xf>
    <xf numFmtId="0" fontId="0" fillId="0" borderId="46" xfId="0" applyFill="1" applyBorder="1" applyAlignment="1" applyProtection="1">
      <alignment vertical="center" wrapText="1"/>
      <protection hidden="1"/>
    </xf>
    <xf numFmtId="0" fontId="18" fillId="0" borderId="58" xfId="55" applyFont="1" applyFill="1" applyBorder="1" applyAlignment="1" applyProtection="1">
      <alignment vertical="center" wrapText="1"/>
      <protection hidden="1"/>
    </xf>
    <xf numFmtId="0" fontId="19" fillId="0" borderId="57" xfId="55" applyFont="1" applyFill="1" applyBorder="1" applyAlignment="1" applyProtection="1">
      <alignment vertical="center" wrapText="1"/>
      <protection hidden="1"/>
    </xf>
    <xf numFmtId="0" fontId="32" fillId="0" borderId="0" xfId="0" applyFont="1" applyBorder="1" applyAlignment="1" applyProtection="1">
      <alignment horizontal="left"/>
      <protection hidden="1"/>
    </xf>
    <xf numFmtId="0" fontId="19" fillId="0" borderId="58" xfId="55" applyFont="1" applyBorder="1" applyAlignment="1" applyProtection="1">
      <alignment vertical="center" wrapText="1"/>
      <protection hidden="1"/>
    </xf>
    <xf numFmtId="0" fontId="19" fillId="0" borderId="60" xfId="55" applyFont="1" applyBorder="1" applyAlignment="1" applyProtection="1">
      <alignment vertical="center" wrapText="1"/>
      <protection hidden="1"/>
    </xf>
    <xf numFmtId="0" fontId="19" fillId="0" borderId="62" xfId="55" applyFont="1" applyBorder="1" applyAlignment="1" applyProtection="1">
      <alignment vertical="center" wrapText="1"/>
      <protection hidden="1"/>
    </xf>
    <xf numFmtId="0" fontId="0" fillId="0" borderId="63" xfId="55" applyBorder="1" applyProtection="1">
      <alignment/>
      <protection hidden="1"/>
    </xf>
    <xf numFmtId="0" fontId="0" fillId="0" borderId="56" xfId="55" applyBorder="1" applyAlignment="1" applyProtection="1">
      <alignment vertical="center" wrapText="1"/>
      <protection hidden="1"/>
    </xf>
    <xf numFmtId="0" fontId="0" fillId="0" borderId="50" xfId="55" applyBorder="1" applyAlignment="1" applyProtection="1">
      <alignment vertical="center" wrapText="1"/>
      <protection hidden="1"/>
    </xf>
    <xf numFmtId="0" fontId="148" fillId="0" borderId="0" xfId="55" applyFont="1" applyBorder="1" applyAlignment="1" applyProtection="1">
      <alignment vertical="center" wrapText="1"/>
      <protection hidden="1"/>
    </xf>
    <xf numFmtId="0" fontId="0" fillId="0" borderId="64" xfId="55" applyBorder="1" applyProtection="1">
      <alignment/>
      <protection hidden="1"/>
    </xf>
    <xf numFmtId="0" fontId="19" fillId="0" borderId="56" xfId="55" applyFont="1" applyBorder="1" applyAlignment="1" applyProtection="1">
      <alignment vertical="center" wrapText="1"/>
      <protection hidden="1"/>
    </xf>
    <xf numFmtId="0" fontId="19" fillId="0" borderId="50" xfId="0" applyFont="1" applyBorder="1" applyAlignment="1" applyProtection="1">
      <alignment vertical="center" wrapText="1"/>
      <protection hidden="1"/>
    </xf>
    <xf numFmtId="0" fontId="148" fillId="0" borderId="0" xfId="55" applyFont="1" applyBorder="1" applyAlignment="1" applyProtection="1">
      <alignment vertical="top" wrapText="1"/>
      <protection hidden="1"/>
    </xf>
    <xf numFmtId="0" fontId="0" fillId="45" borderId="0" xfId="0" applyFont="1" applyFill="1" applyAlignment="1" applyProtection="1">
      <alignment/>
      <protection/>
    </xf>
    <xf numFmtId="0" fontId="108" fillId="0" borderId="65" xfId="0" applyFont="1" applyFill="1" applyBorder="1" applyAlignment="1">
      <alignment horizontal="center"/>
    </xf>
    <xf numFmtId="0" fontId="108" fillId="0" borderId="49" xfId="0" applyFont="1" applyFill="1" applyBorder="1" applyAlignment="1">
      <alignment vertical="center" wrapText="1"/>
    </xf>
    <xf numFmtId="0" fontId="108" fillId="0" borderId="0" xfId="0" applyFont="1" applyFill="1" applyBorder="1" applyAlignment="1">
      <alignment horizontal="center"/>
    </xf>
    <xf numFmtId="0" fontId="108" fillId="0" borderId="0" xfId="0" applyFont="1" applyFill="1" applyBorder="1" applyAlignment="1">
      <alignment vertical="center" wrapText="1"/>
    </xf>
    <xf numFmtId="14" fontId="108" fillId="0" borderId="0" xfId="0" applyNumberFormat="1" applyFont="1" applyFill="1" applyBorder="1" applyAlignment="1">
      <alignment horizontal="center"/>
    </xf>
    <xf numFmtId="0" fontId="67" fillId="0" borderId="0" xfId="0" applyFont="1" applyBorder="1" applyAlignment="1">
      <alignment/>
    </xf>
    <xf numFmtId="0" fontId="118" fillId="9" borderId="66" xfId="0" applyFont="1" applyFill="1" applyBorder="1" applyAlignment="1" applyProtection="1">
      <alignment horizontal="center"/>
      <protection locked="0"/>
    </xf>
    <xf numFmtId="3" fontId="109" fillId="9" borderId="67" xfId="0" applyNumberFormat="1" applyFont="1" applyFill="1" applyBorder="1" applyAlignment="1" applyProtection="1">
      <alignment horizontal="center"/>
      <protection/>
    </xf>
    <xf numFmtId="3" fontId="109" fillId="9" borderId="68" xfId="0" applyNumberFormat="1" applyFont="1" applyFill="1" applyBorder="1" applyAlignment="1" applyProtection="1">
      <alignment horizontal="center"/>
      <protection/>
    </xf>
    <xf numFmtId="169" fontId="2" fillId="0" borderId="0" xfId="58" applyNumberFormat="1" applyFont="1" applyBorder="1" applyAlignment="1" applyProtection="1">
      <alignment horizontal="center"/>
      <protection hidden="1"/>
    </xf>
    <xf numFmtId="8" fontId="3" fillId="0" borderId="0" xfId="49" applyNumberFormat="1" applyFont="1" applyAlignment="1" applyProtection="1">
      <alignment/>
      <protection hidden="1"/>
    </xf>
    <xf numFmtId="0" fontId="3" fillId="0" borderId="0" xfId="0" applyFont="1" applyFill="1" applyBorder="1" applyAlignment="1" applyProtection="1">
      <alignment/>
      <protection hidden="1" locked="0"/>
    </xf>
    <xf numFmtId="0" fontId="8" fillId="45" borderId="0" xfId="0" applyFont="1" applyFill="1" applyAlignment="1" applyProtection="1">
      <alignment/>
      <protection hidden="1" locked="0"/>
    </xf>
    <xf numFmtId="168" fontId="130" fillId="5" borderId="0" xfId="49" applyNumberFormat="1" applyFont="1" applyFill="1" applyAlignment="1" applyProtection="1">
      <alignment vertical="center"/>
      <protection hidden="1" locked="0"/>
    </xf>
    <xf numFmtId="168" fontId="149" fillId="11" borderId="0" xfId="49" applyNumberFormat="1" applyFont="1" applyFill="1" applyAlignment="1" applyProtection="1">
      <alignment vertical="center"/>
      <protection hidden="1" locked="0"/>
    </xf>
    <xf numFmtId="43" fontId="149" fillId="11" borderId="0" xfId="49" applyNumberFormat="1" applyFont="1" applyFill="1" applyAlignment="1">
      <alignment vertical="center"/>
    </xf>
    <xf numFmtId="174" fontId="149" fillId="11" borderId="0" xfId="49" applyNumberFormat="1" applyFont="1" applyFill="1" applyAlignment="1">
      <alignment vertical="center"/>
    </xf>
    <xf numFmtId="8" fontId="149" fillId="11" borderId="0" xfId="49" applyNumberFormat="1" applyFont="1" applyFill="1" applyAlignment="1">
      <alignment vertical="center"/>
    </xf>
    <xf numFmtId="165" fontId="149" fillId="11" borderId="0" xfId="49" applyNumberFormat="1" applyFont="1" applyFill="1" applyAlignment="1">
      <alignment vertical="center"/>
    </xf>
    <xf numFmtId="168" fontId="12" fillId="11" borderId="0" xfId="49" applyNumberFormat="1" applyFont="1" applyFill="1" applyAlignment="1" applyProtection="1">
      <alignment vertical="center"/>
      <protection hidden="1" locked="0"/>
    </xf>
    <xf numFmtId="8" fontId="12" fillId="11" borderId="0" xfId="49" applyNumberFormat="1" applyFont="1" applyFill="1" applyAlignment="1" applyProtection="1">
      <alignment vertical="center"/>
      <protection hidden="1" locked="0"/>
    </xf>
    <xf numFmtId="10" fontId="149" fillId="11" borderId="0" xfId="58" applyNumberFormat="1" applyFont="1" applyFill="1" applyAlignment="1" applyProtection="1">
      <alignment vertical="center"/>
      <protection hidden="1" locked="0"/>
    </xf>
    <xf numFmtId="9" fontId="149" fillId="11" borderId="0" xfId="58" applyFont="1" applyFill="1" applyAlignment="1" applyProtection="1">
      <alignment vertical="center"/>
      <protection hidden="1" locked="0"/>
    </xf>
    <xf numFmtId="43" fontId="12" fillId="11" borderId="0" xfId="49" applyNumberFormat="1" applyFont="1" applyFill="1" applyAlignment="1">
      <alignment vertical="center"/>
    </xf>
    <xf numFmtId="8" fontId="2" fillId="15" borderId="0" xfId="49" applyNumberFormat="1" applyFont="1" applyFill="1" applyAlignment="1" applyProtection="1">
      <alignment/>
      <protection hidden="1" locked="0"/>
    </xf>
    <xf numFmtId="168" fontId="2" fillId="0" borderId="22" xfId="49" applyNumberFormat="1" applyFont="1" applyFill="1" applyBorder="1" applyAlignment="1" applyProtection="1">
      <alignment horizontal="right"/>
      <protection locked="0"/>
    </xf>
    <xf numFmtId="0" fontId="2" fillId="0" borderId="22" xfId="0" applyFont="1" applyBorder="1" applyAlignment="1" applyProtection="1">
      <alignment horizontal="right" vertical="center" wrapText="1"/>
      <protection hidden="1"/>
    </xf>
    <xf numFmtId="168" fontId="33" fillId="0" borderId="22" xfId="49" applyNumberFormat="1" applyFont="1" applyFill="1" applyBorder="1" applyAlignment="1" applyProtection="1">
      <alignment horizontal="right" vertical="center"/>
      <protection hidden="1"/>
    </xf>
    <xf numFmtId="4" fontId="8" fillId="0" borderId="15" xfId="0" applyNumberFormat="1" applyFont="1" applyBorder="1" applyAlignment="1">
      <alignment horizontal="right" vertical="center"/>
    </xf>
    <xf numFmtId="0" fontId="8" fillId="0" borderId="15" xfId="0" applyFont="1" applyBorder="1" applyAlignment="1">
      <alignment horizontal="right" vertical="center"/>
    </xf>
    <xf numFmtId="0" fontId="2" fillId="0" borderId="22" xfId="0" applyFont="1" applyBorder="1" applyAlignment="1" applyProtection="1">
      <alignment horizontal="right" wrapText="1"/>
      <protection hidden="1"/>
    </xf>
    <xf numFmtId="0" fontId="33" fillId="0" borderId="22" xfId="0" applyFont="1" applyBorder="1" applyAlignment="1" applyProtection="1">
      <alignment horizontal="right" vertical="center" wrapText="1"/>
      <protection hidden="1"/>
    </xf>
    <xf numFmtId="0" fontId="3" fillId="0" borderId="24" xfId="0" applyFont="1" applyFill="1" applyBorder="1" applyAlignment="1" applyProtection="1">
      <alignment/>
      <protection/>
    </xf>
    <xf numFmtId="0" fontId="15" fillId="0" borderId="0" xfId="0" applyFont="1" applyFill="1" applyBorder="1" applyAlignment="1" applyProtection="1">
      <alignment horizontal="center"/>
      <protection hidden="1"/>
    </xf>
    <xf numFmtId="0" fontId="8"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xf>
    <xf numFmtId="179" fontId="110" fillId="0" borderId="0" xfId="51" applyNumberFormat="1" applyFont="1" applyBorder="1" applyAlignment="1" applyProtection="1">
      <alignment horizontal="left"/>
      <protection hidden="1"/>
    </xf>
    <xf numFmtId="0" fontId="3" fillId="0" borderId="16" xfId="0" applyFont="1" applyFill="1" applyBorder="1" applyAlignment="1" applyProtection="1" quotePrefix="1">
      <alignment horizontal="left" wrapText="1"/>
      <protection hidden="1"/>
    </xf>
    <xf numFmtId="0" fontId="3" fillId="0" borderId="15" xfId="0" applyFont="1" applyFill="1" applyBorder="1" applyAlignment="1" applyProtection="1" quotePrefix="1">
      <alignment horizontal="left" wrapText="1"/>
      <protection hidden="1"/>
    </xf>
    <xf numFmtId="0" fontId="110" fillId="0" borderId="19" xfId="0" applyFont="1" applyBorder="1" applyAlignment="1" applyProtection="1">
      <alignment horizontal="center"/>
      <protection hidden="1"/>
    </xf>
    <xf numFmtId="0" fontId="110" fillId="0" borderId="0" xfId="0" applyFont="1" applyBorder="1" applyAlignment="1" applyProtection="1">
      <alignment horizontal="center"/>
      <protection hidden="1"/>
    </xf>
    <xf numFmtId="167" fontId="12" fillId="35" borderId="49" xfId="49" applyFont="1" applyFill="1" applyBorder="1" applyAlignment="1" applyProtection="1">
      <alignment horizontal="center" vertical="center"/>
      <protection hidden="1"/>
    </xf>
    <xf numFmtId="167" fontId="12" fillId="35" borderId="50" xfId="49" applyFont="1" applyFill="1" applyBorder="1" applyAlignment="1" applyProtection="1">
      <alignment horizontal="center" vertical="center"/>
      <protection hidden="1"/>
    </xf>
    <xf numFmtId="167" fontId="12" fillId="35" borderId="51" xfId="49" applyFont="1" applyFill="1" applyBorder="1" applyAlignment="1" applyProtection="1">
      <alignment horizontal="center" vertical="center"/>
      <protection hidden="1"/>
    </xf>
    <xf numFmtId="10" fontId="25" fillId="35" borderId="49" xfId="58" applyNumberFormat="1" applyFont="1" applyFill="1" applyBorder="1" applyAlignment="1" applyProtection="1">
      <alignment horizontal="center" vertical="center"/>
      <protection hidden="1"/>
    </xf>
    <xf numFmtId="10" fontId="25" fillId="35" borderId="50" xfId="58" applyNumberFormat="1" applyFont="1" applyFill="1" applyBorder="1" applyAlignment="1" applyProtection="1">
      <alignment horizontal="center" vertical="center"/>
      <protection hidden="1"/>
    </xf>
    <xf numFmtId="10" fontId="25" fillId="35" borderId="51" xfId="58" applyNumberFormat="1" applyFont="1" applyFill="1" applyBorder="1" applyAlignment="1" applyProtection="1">
      <alignment horizontal="center" vertical="center"/>
      <protection hidden="1"/>
    </xf>
    <xf numFmtId="0" fontId="136" fillId="49" borderId="0" xfId="0" applyFont="1" applyFill="1" applyAlignment="1">
      <alignment horizontal="center" vertical="center"/>
    </xf>
    <xf numFmtId="0" fontId="137" fillId="49" borderId="0" xfId="0" applyFont="1" applyFill="1" applyAlignment="1">
      <alignment horizontal="center" vertical="center"/>
    </xf>
    <xf numFmtId="0" fontId="2" fillId="0" borderId="19" xfId="0" applyFont="1" applyFill="1" applyBorder="1" applyAlignment="1" applyProtection="1">
      <alignment horizontal="left"/>
      <protection hidden="1"/>
    </xf>
    <xf numFmtId="0" fontId="2" fillId="0" borderId="0" xfId="0" applyFont="1" applyFill="1" applyBorder="1" applyAlignment="1" applyProtection="1">
      <alignment horizontal="left"/>
      <protection hidden="1"/>
    </xf>
    <xf numFmtId="0" fontId="7" fillId="0" borderId="0" xfId="0" applyFont="1" applyFill="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Fill="1" applyBorder="1" applyAlignment="1" applyProtection="1">
      <alignment horizontal="center"/>
      <protection hidden="1"/>
    </xf>
    <xf numFmtId="173" fontId="2" fillId="0" borderId="0" xfId="49" applyNumberFormat="1" applyFont="1" applyAlignment="1" applyProtection="1">
      <alignment horizontal="center"/>
      <protection hidden="1"/>
    </xf>
    <xf numFmtId="0" fontId="12" fillId="0" borderId="0" xfId="0" applyFont="1" applyFill="1" applyAlignment="1" applyProtection="1">
      <alignment horizontal="center" vertical="top" wrapText="1"/>
      <protection hidden="1"/>
    </xf>
    <xf numFmtId="0" fontId="18" fillId="0" borderId="69" xfId="0" applyFont="1" applyFill="1" applyBorder="1" applyAlignment="1" applyProtection="1">
      <alignment vertical="center" wrapText="1"/>
      <protection hidden="1"/>
    </xf>
    <xf numFmtId="0" fontId="18" fillId="0" borderId="70" xfId="0" applyFont="1" applyFill="1" applyBorder="1" applyAlignment="1" applyProtection="1">
      <alignment vertical="center" wrapText="1"/>
      <protection hidden="1"/>
    </xf>
    <xf numFmtId="0" fontId="18" fillId="0" borderId="71" xfId="0" applyFont="1" applyFill="1" applyBorder="1" applyAlignment="1" applyProtection="1">
      <alignment vertical="center" wrapText="1"/>
      <protection hidden="1"/>
    </xf>
    <xf numFmtId="0" fontId="18" fillId="0" borderId="57" xfId="0" applyFont="1" applyFill="1" applyBorder="1" applyAlignment="1" applyProtection="1">
      <alignment horizontal="left" vertical="center" wrapText="1" indent="1"/>
      <protection hidden="1"/>
    </xf>
    <xf numFmtId="0" fontId="18" fillId="0" borderId="72" xfId="0" applyFont="1" applyFill="1" applyBorder="1" applyAlignment="1" applyProtection="1">
      <alignment horizontal="left" vertical="center" wrapText="1" indent="1"/>
      <protection hidden="1"/>
    </xf>
    <xf numFmtId="0" fontId="18" fillId="0" borderId="58" xfId="0" applyFont="1" applyFill="1" applyBorder="1" applyAlignment="1" applyProtection="1">
      <alignment horizontal="left" vertical="center" wrapText="1" indent="1"/>
      <protection hidden="1"/>
    </xf>
    <xf numFmtId="0" fontId="18" fillId="0" borderId="63" xfId="0" applyFont="1" applyFill="1" applyBorder="1" applyAlignment="1" applyProtection="1">
      <alignment horizontal="left" vertical="center" wrapText="1" indent="1"/>
      <protection hidden="1"/>
    </xf>
    <xf numFmtId="0" fontId="19" fillId="0" borderId="57" xfId="0" applyFont="1" applyBorder="1" applyAlignment="1" applyProtection="1">
      <alignment vertical="center" wrapText="1"/>
      <protection hidden="1"/>
    </xf>
    <xf numFmtId="0" fontId="19" fillId="0" borderId="55" xfId="0" applyFont="1" applyBorder="1" applyAlignment="1" applyProtection="1">
      <alignment vertical="center" wrapText="1"/>
      <protection hidden="1"/>
    </xf>
    <xf numFmtId="0" fontId="19" fillId="0" borderId="72" xfId="0" applyFont="1" applyBorder="1" applyAlignment="1" applyProtection="1">
      <alignment vertical="center" wrapText="1"/>
      <protection hidden="1"/>
    </xf>
    <xf numFmtId="0" fontId="19" fillId="0" borderId="56"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64" xfId="0" applyFont="1" applyBorder="1" applyAlignment="1" applyProtection="1">
      <alignment vertical="center" wrapText="1"/>
      <protection hidden="1"/>
    </xf>
    <xf numFmtId="0" fontId="19" fillId="0" borderId="19" xfId="55" applyFont="1" applyBorder="1" applyAlignment="1" applyProtection="1">
      <alignment horizontal="left" vertical="center" wrapText="1"/>
      <protection hidden="1"/>
    </xf>
    <xf numFmtId="0" fontId="19" fillId="0" borderId="64" xfId="55" applyFont="1" applyBorder="1" applyAlignment="1" applyProtection="1">
      <alignment horizontal="left" vertical="center" wrapText="1"/>
      <protection hidden="1"/>
    </xf>
    <xf numFmtId="0" fontId="18" fillId="0" borderId="73" xfId="0" applyFont="1" applyFill="1" applyBorder="1" applyAlignment="1" applyProtection="1">
      <alignment horizontal="center" vertical="center" wrapText="1"/>
      <protection hidden="1"/>
    </xf>
    <xf numFmtId="0" fontId="18" fillId="0" borderId="70" xfId="0" applyFont="1" applyFill="1" applyBorder="1" applyAlignment="1" applyProtection="1">
      <alignment horizontal="center" vertical="center" wrapText="1"/>
      <protection hidden="1"/>
    </xf>
    <xf numFmtId="0" fontId="18" fillId="0" borderId="71" xfId="0" applyFont="1" applyFill="1" applyBorder="1" applyAlignment="1" applyProtection="1">
      <alignment horizontal="center" vertical="center" wrapText="1"/>
      <protection hidden="1"/>
    </xf>
    <xf numFmtId="0" fontId="19" fillId="0" borderId="56" xfId="0" applyFont="1" applyFill="1" applyBorder="1" applyAlignment="1" applyProtection="1">
      <alignment horizontal="left" vertical="center" wrapText="1" indent="1"/>
      <protection hidden="1"/>
    </xf>
    <xf numFmtId="0" fontId="19" fillId="0" borderId="0" xfId="0" applyFont="1" applyFill="1" applyBorder="1" applyAlignment="1" applyProtection="1">
      <alignment horizontal="left" vertical="center" wrapText="1" indent="1"/>
      <protection hidden="1"/>
    </xf>
    <xf numFmtId="0" fontId="19" fillId="0" borderId="64" xfId="0" applyFont="1" applyFill="1" applyBorder="1" applyAlignment="1" applyProtection="1">
      <alignment horizontal="left" vertical="center" wrapText="1" indent="1"/>
      <protection hidden="1"/>
    </xf>
    <xf numFmtId="0" fontId="19" fillId="0" borderId="57" xfId="0" applyFont="1" applyFill="1" applyBorder="1" applyAlignment="1" applyProtection="1">
      <alignment horizontal="left" vertical="center" wrapText="1" indent="1"/>
      <protection hidden="1"/>
    </xf>
    <xf numFmtId="0" fontId="19" fillId="0" borderId="55" xfId="0" applyFont="1" applyFill="1" applyBorder="1" applyAlignment="1" applyProtection="1">
      <alignment horizontal="left" vertical="center" wrapText="1" indent="1"/>
      <protection hidden="1"/>
    </xf>
    <xf numFmtId="0" fontId="19" fillId="0" borderId="72" xfId="0" applyFont="1" applyFill="1" applyBorder="1" applyAlignment="1" applyProtection="1">
      <alignment horizontal="left" vertical="center" wrapText="1" indent="1"/>
      <protection hidden="1"/>
    </xf>
    <xf numFmtId="0" fontId="31" fillId="0" borderId="58" xfId="0" applyFont="1" applyBorder="1" applyAlignment="1" applyProtection="1">
      <alignment vertical="center" wrapText="1"/>
      <protection hidden="1"/>
    </xf>
    <xf numFmtId="0" fontId="31" fillId="0" borderId="62" xfId="0" applyFont="1" applyBorder="1" applyAlignment="1" applyProtection="1">
      <alignment vertical="center" wrapText="1"/>
      <protection hidden="1"/>
    </xf>
    <xf numFmtId="0" fontId="31" fillId="0" borderId="63" xfId="0" applyFont="1" applyBorder="1" applyAlignment="1" applyProtection="1">
      <alignment vertical="center" wrapText="1"/>
      <protection hidden="1"/>
    </xf>
    <xf numFmtId="0" fontId="148" fillId="0" borderId="57" xfId="55" applyFont="1" applyBorder="1" applyAlignment="1" applyProtection="1">
      <alignment vertical="center" wrapText="1"/>
      <protection hidden="1"/>
    </xf>
    <xf numFmtId="0" fontId="148" fillId="0" borderId="72" xfId="55" applyFont="1" applyBorder="1" applyAlignment="1" applyProtection="1">
      <alignment vertical="center" wrapText="1"/>
      <protection hidden="1"/>
    </xf>
    <xf numFmtId="0" fontId="19" fillId="0" borderId="56" xfId="55" applyFont="1" applyFill="1" applyBorder="1" applyAlignment="1" applyProtection="1">
      <alignment horizontal="left" vertical="center" wrapText="1" indent="1"/>
      <protection hidden="1"/>
    </xf>
    <xf numFmtId="0" fontId="19" fillId="0" borderId="0" xfId="55" applyFont="1" applyFill="1" applyBorder="1" applyAlignment="1" applyProtection="1">
      <alignment horizontal="left" vertical="center" wrapText="1" indent="1"/>
      <protection hidden="1"/>
    </xf>
    <xf numFmtId="0" fontId="19" fillId="0" borderId="64" xfId="55" applyFont="1" applyFill="1" applyBorder="1" applyAlignment="1" applyProtection="1">
      <alignment horizontal="left" vertical="center" wrapText="1" indent="1"/>
      <protection hidden="1"/>
    </xf>
    <xf numFmtId="0" fontId="18" fillId="0" borderId="58" xfId="0" applyFont="1" applyFill="1" applyBorder="1" applyAlignment="1" applyProtection="1">
      <alignment vertical="center" wrapText="1"/>
      <protection hidden="1"/>
    </xf>
    <xf numFmtId="0" fontId="18" fillId="0" borderId="62" xfId="0" applyFont="1" applyFill="1" applyBorder="1" applyAlignment="1" applyProtection="1">
      <alignment vertical="center" wrapText="1"/>
      <protection hidden="1"/>
    </xf>
    <xf numFmtId="0" fontId="18" fillId="0" borderId="63" xfId="0" applyFont="1" applyFill="1" applyBorder="1" applyAlignment="1" applyProtection="1">
      <alignment vertical="center" wrapText="1"/>
      <protection hidden="1"/>
    </xf>
    <xf numFmtId="0" fontId="12" fillId="0" borderId="0" xfId="55" applyFont="1" applyFill="1" applyAlignment="1" applyProtection="1">
      <alignment horizontal="center" vertical="center" wrapText="1"/>
      <protection hidden="1"/>
    </xf>
    <xf numFmtId="0" fontId="0" fillId="0" borderId="56" xfId="0" applyFill="1" applyBorder="1" applyAlignment="1" applyProtection="1">
      <alignment horizontal="left" vertical="center" wrapText="1" indent="1"/>
      <protection hidden="1"/>
    </xf>
    <xf numFmtId="0" fontId="0" fillId="0" borderId="0" xfId="0" applyFill="1" applyBorder="1" applyAlignment="1" applyProtection="1">
      <alignment horizontal="left" vertical="center" wrapText="1" indent="1"/>
      <protection hidden="1"/>
    </xf>
    <xf numFmtId="0" fontId="0" fillId="0" borderId="64" xfId="0" applyFill="1" applyBorder="1" applyAlignment="1" applyProtection="1">
      <alignment horizontal="left" vertical="center" wrapText="1" indent="1"/>
      <protection hidden="1"/>
    </xf>
    <xf numFmtId="0" fontId="18" fillId="0" borderId="58" xfId="0" applyFont="1" applyBorder="1" applyAlignment="1" applyProtection="1">
      <alignment vertical="center" wrapText="1"/>
      <protection hidden="1"/>
    </xf>
    <xf numFmtId="0" fontId="18" fillId="0" borderId="62" xfId="0" applyFont="1" applyBorder="1" applyAlignment="1" applyProtection="1">
      <alignment vertical="center" wrapText="1"/>
      <protection hidden="1"/>
    </xf>
    <xf numFmtId="0" fontId="18" fillId="0" borderId="63" xfId="0" applyFont="1" applyBorder="1" applyAlignment="1" applyProtection="1">
      <alignment vertical="center" wrapText="1"/>
      <protection hidden="1"/>
    </xf>
    <xf numFmtId="0" fontId="19" fillId="0" borderId="62" xfId="0" applyFont="1" applyFill="1" applyBorder="1" applyAlignment="1" applyProtection="1">
      <alignment vertical="center"/>
      <protection hidden="1"/>
    </xf>
    <xf numFmtId="0" fontId="19" fillId="0" borderId="63" xfId="0" applyFont="1" applyFill="1" applyBorder="1" applyAlignment="1" applyProtection="1">
      <alignment vertical="center"/>
      <protection hidden="1"/>
    </xf>
    <xf numFmtId="0" fontId="19" fillId="0" borderId="57" xfId="0" applyFont="1" applyFill="1" applyBorder="1" applyAlignment="1" applyProtection="1">
      <alignment vertical="center" wrapText="1"/>
      <protection hidden="1"/>
    </xf>
    <xf numFmtId="0" fontId="19" fillId="0" borderId="55" xfId="0" applyFont="1" applyFill="1" applyBorder="1" applyAlignment="1" applyProtection="1">
      <alignment vertical="center" wrapText="1"/>
      <protection hidden="1"/>
    </xf>
    <xf numFmtId="0" fontId="19" fillId="0" borderId="72" xfId="0" applyFont="1" applyFill="1" applyBorder="1" applyAlignment="1" applyProtection="1">
      <alignment vertical="center" wrapText="1"/>
      <protection hidden="1"/>
    </xf>
    <xf numFmtId="0" fontId="18" fillId="0" borderId="57" xfId="0" applyFont="1" applyFill="1" applyBorder="1" applyAlignment="1" applyProtection="1">
      <alignment vertical="center" wrapText="1"/>
      <protection hidden="1"/>
    </xf>
    <xf numFmtId="0" fontId="18" fillId="0" borderId="55" xfId="0" applyFont="1" applyFill="1" applyBorder="1" applyAlignment="1" applyProtection="1">
      <alignment vertical="center" wrapText="1"/>
      <protection hidden="1"/>
    </xf>
    <xf numFmtId="0" fontId="18" fillId="0" borderId="72" xfId="0" applyFont="1" applyFill="1" applyBorder="1" applyAlignment="1" applyProtection="1">
      <alignment vertical="center" wrapText="1"/>
      <protection hidden="1"/>
    </xf>
    <xf numFmtId="0" fontId="0" fillId="0" borderId="56"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64" xfId="0" applyFill="1" applyBorder="1" applyAlignment="1" applyProtection="1">
      <alignment horizontal="center" vertical="center" wrapText="1"/>
      <protection hidden="1"/>
    </xf>
    <xf numFmtId="0" fontId="150" fillId="37" borderId="74" xfId="0" applyFont="1" applyFill="1" applyBorder="1" applyAlignment="1">
      <alignment horizontal="center"/>
    </xf>
    <xf numFmtId="0" fontId="150" fillId="37" borderId="75" xfId="0" applyFont="1" applyFill="1" applyBorder="1" applyAlignment="1">
      <alignment horizontal="center"/>
    </xf>
    <xf numFmtId="0" fontId="150" fillId="37" borderId="76" xfId="0" applyFont="1" applyFill="1" applyBorder="1" applyAlignment="1">
      <alignment horizontal="center"/>
    </xf>
    <xf numFmtId="0" fontId="123" fillId="0" borderId="38" xfId="0" applyFont="1" applyBorder="1" applyAlignment="1">
      <alignment horizontal="center" vertical="center" wrapText="1"/>
    </xf>
    <xf numFmtId="0" fontId="123" fillId="0" borderId="39" xfId="0" applyFont="1" applyBorder="1" applyAlignment="1">
      <alignment horizontal="center" vertical="center" wrapText="1"/>
    </xf>
    <xf numFmtId="0" fontId="123" fillId="0" borderId="40" xfId="0" applyFont="1" applyBorder="1" applyAlignment="1">
      <alignment horizontal="center" vertical="center" wrapText="1"/>
    </xf>
    <xf numFmtId="0" fontId="16" fillId="0" borderId="0" xfId="0" applyFont="1" applyAlignment="1">
      <alignment horizontal="center" vertical="center" wrapText="1"/>
    </xf>
    <xf numFmtId="0" fontId="2" fillId="0" borderId="4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0" fillId="39" borderId="45" xfId="0" applyFill="1" applyBorder="1" applyAlignment="1">
      <alignment vertical="center" wrapText="1"/>
    </xf>
    <xf numFmtId="0" fontId="0" fillId="39" borderId="53" xfId="0" applyFill="1" applyBorder="1" applyAlignment="1">
      <alignment vertical="center" wrapText="1"/>
    </xf>
    <xf numFmtId="0" fontId="0" fillId="39" borderId="46" xfId="0" applyFill="1" applyBorder="1" applyAlignment="1">
      <alignment vertical="center" wrapText="1"/>
    </xf>
    <xf numFmtId="0" fontId="16" fillId="39" borderId="58" xfId="0" applyFont="1" applyFill="1" applyBorder="1" applyAlignment="1">
      <alignment horizontal="center" vertical="center" wrapText="1"/>
    </xf>
    <xf numFmtId="0" fontId="16" fillId="39" borderId="62" xfId="0" applyFont="1" applyFill="1" applyBorder="1" applyAlignment="1">
      <alignment horizontal="center" vertical="center" wrapText="1"/>
    </xf>
    <xf numFmtId="0" fontId="16" fillId="39" borderId="63" xfId="0" applyFont="1" applyFill="1" applyBorder="1" applyAlignment="1">
      <alignment horizontal="center" vertical="center" wrapText="1"/>
    </xf>
    <xf numFmtId="0" fontId="0" fillId="39" borderId="56" xfId="0" applyFill="1" applyBorder="1" applyAlignment="1">
      <alignment horizontal="center" vertical="center" wrapText="1"/>
    </xf>
    <xf numFmtId="0" fontId="0" fillId="39" borderId="0" xfId="0" applyFill="1" applyBorder="1" applyAlignment="1">
      <alignment horizontal="center" vertical="center" wrapText="1"/>
    </xf>
    <xf numFmtId="0" fontId="0" fillId="39" borderId="64" xfId="0" applyFill="1" applyBorder="1" applyAlignment="1">
      <alignment horizontal="center" vertical="center" wrapText="1"/>
    </xf>
    <xf numFmtId="0" fontId="6" fillId="39" borderId="56" xfId="0" applyFont="1" applyFill="1" applyBorder="1" applyAlignment="1">
      <alignment horizontal="center" vertical="center" wrapText="1"/>
    </xf>
    <xf numFmtId="0" fontId="6" fillId="39" borderId="0" xfId="0" applyFont="1" applyFill="1" applyBorder="1" applyAlignment="1">
      <alignment horizontal="center" vertical="center" wrapText="1"/>
    </xf>
    <xf numFmtId="0" fontId="6" fillId="39" borderId="64" xfId="0" applyFont="1" applyFill="1" applyBorder="1" applyAlignment="1">
      <alignment horizontal="center" vertical="center" wrapText="1"/>
    </xf>
    <xf numFmtId="6" fontId="6" fillId="0" borderId="58" xfId="0" applyNumberFormat="1" applyFont="1" applyBorder="1" applyAlignment="1">
      <alignment horizontal="center" vertical="center" wrapText="1"/>
    </xf>
    <xf numFmtId="6" fontId="6" fillId="0" borderId="62" xfId="0" applyNumberFormat="1" applyFont="1" applyBorder="1" applyAlignment="1">
      <alignment horizontal="center" vertical="center" wrapText="1"/>
    </xf>
    <xf numFmtId="6" fontId="6" fillId="0" borderId="63" xfId="0" applyNumberFormat="1" applyFont="1" applyBorder="1" applyAlignment="1">
      <alignment horizontal="center" vertical="center" wrapText="1"/>
    </xf>
    <xf numFmtId="6" fontId="6" fillId="0" borderId="57" xfId="0" applyNumberFormat="1" applyFont="1" applyBorder="1" applyAlignment="1">
      <alignment horizontal="center" vertical="center" wrapText="1"/>
    </xf>
    <xf numFmtId="6" fontId="6" fillId="0" borderId="55" xfId="0" applyNumberFormat="1" applyFont="1" applyBorder="1" applyAlignment="1">
      <alignment horizontal="center" vertical="center" wrapText="1"/>
    </xf>
    <xf numFmtId="6" fontId="6" fillId="0" borderId="72" xfId="0" applyNumberFormat="1" applyFont="1" applyBorder="1" applyAlignment="1">
      <alignment horizontal="center" vertical="center" wrapText="1"/>
    </xf>
    <xf numFmtId="0" fontId="6" fillId="39" borderId="57" xfId="0" applyFont="1" applyFill="1" applyBorder="1" applyAlignment="1">
      <alignment horizontal="center" vertical="center" wrapText="1"/>
    </xf>
    <xf numFmtId="0" fontId="6" fillId="39" borderId="55" xfId="0" applyFont="1" applyFill="1" applyBorder="1" applyAlignment="1">
      <alignment horizontal="center" vertical="center" wrapText="1"/>
    </xf>
    <xf numFmtId="0" fontId="6" fillId="39" borderId="72" xfId="0" applyFont="1" applyFill="1" applyBorder="1" applyAlignment="1">
      <alignment horizontal="center" vertical="center" wrapText="1"/>
    </xf>
    <xf numFmtId="9" fontId="2" fillId="40" borderId="45" xfId="0" applyNumberFormat="1" applyFont="1" applyFill="1" applyBorder="1" applyAlignment="1">
      <alignment horizontal="center" vertical="center" wrapText="1"/>
    </xf>
    <xf numFmtId="9" fontId="2" fillId="40" borderId="53" xfId="0" applyNumberFormat="1" applyFont="1" applyFill="1" applyBorder="1" applyAlignment="1">
      <alignment horizontal="center" vertical="center" wrapText="1"/>
    </xf>
    <xf numFmtId="9" fontId="2" fillId="40" borderId="46" xfId="0" applyNumberFormat="1" applyFont="1" applyFill="1" applyBorder="1" applyAlignment="1">
      <alignment horizontal="center" vertical="center" wrapText="1"/>
    </xf>
    <xf numFmtId="9" fontId="2" fillId="0" borderId="45" xfId="0" applyNumberFormat="1" applyFont="1" applyBorder="1" applyAlignment="1">
      <alignment horizontal="center" vertical="center" wrapText="1"/>
    </xf>
    <xf numFmtId="9" fontId="2" fillId="0" borderId="53" xfId="0" applyNumberFormat="1" applyFont="1" applyBorder="1" applyAlignment="1">
      <alignment horizontal="center" vertical="center" wrapText="1"/>
    </xf>
    <xf numFmtId="9" fontId="2" fillId="0" borderId="46" xfId="0" applyNumberFormat="1" applyFont="1" applyBorder="1" applyAlignment="1">
      <alignment horizontal="center" vertical="center" wrapText="1"/>
    </xf>
    <xf numFmtId="0" fontId="6" fillId="39" borderId="73" xfId="0" applyFont="1" applyFill="1" applyBorder="1" applyAlignment="1">
      <alignment horizontal="center" vertical="center" wrapText="1"/>
    </xf>
    <xf numFmtId="0" fontId="6" fillId="39" borderId="70" xfId="0" applyFont="1" applyFill="1" applyBorder="1" applyAlignment="1">
      <alignment horizontal="center" vertical="center" wrapText="1"/>
    </xf>
    <xf numFmtId="0" fontId="6" fillId="39" borderId="71" xfId="0" applyFont="1" applyFill="1" applyBorder="1" applyAlignment="1">
      <alignment horizontal="center" vertical="center" wrapText="1"/>
    </xf>
    <xf numFmtId="0" fontId="6" fillId="39" borderId="45" xfId="0" applyFont="1" applyFill="1" applyBorder="1" applyAlignment="1">
      <alignment horizontal="center" vertical="center" wrapText="1"/>
    </xf>
    <xf numFmtId="0" fontId="6" fillId="39" borderId="53" xfId="0" applyFont="1" applyFill="1" applyBorder="1" applyAlignment="1">
      <alignment horizontal="center" vertical="center" wrapText="1"/>
    </xf>
    <xf numFmtId="0" fontId="6" fillId="39" borderId="46" xfId="0" applyFont="1" applyFill="1" applyBorder="1" applyAlignment="1">
      <alignment horizontal="center" vertical="center" wrapText="1"/>
    </xf>
    <xf numFmtId="0" fontId="0" fillId="0" borderId="0" xfId="0" applyFont="1" applyAlignment="1">
      <alignment vertical="center" wrapText="1"/>
    </xf>
    <xf numFmtId="0" fontId="0" fillId="0" borderId="55" xfId="0" applyBorder="1" applyAlignment="1">
      <alignment vertical="center" wrapText="1"/>
    </xf>
    <xf numFmtId="0" fontId="0" fillId="0" borderId="4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6" xfId="0" applyFont="1" applyBorder="1" applyAlignment="1">
      <alignment horizontal="center" vertical="center" wrapText="1"/>
    </xf>
    <xf numFmtId="0" fontId="16" fillId="0" borderId="0" xfId="0" applyFont="1" applyAlignment="1">
      <alignment vertical="center" wrapText="1"/>
    </xf>
    <xf numFmtId="0" fontId="0" fillId="0" borderId="0" xfId="0" applyAlignment="1">
      <alignment vertical="center" wrapText="1"/>
    </xf>
    <xf numFmtId="0" fontId="3" fillId="0" borderId="55" xfId="0" applyFont="1" applyBorder="1" applyAlignment="1">
      <alignment vertical="center" wrapText="1"/>
    </xf>
    <xf numFmtId="0" fontId="2" fillId="0" borderId="73" xfId="0" applyFont="1" applyBorder="1" applyAlignment="1">
      <alignment horizontal="center" vertical="center" wrapText="1"/>
    </xf>
    <xf numFmtId="0" fontId="2" fillId="0" borderId="71" xfId="0" applyFont="1" applyBorder="1" applyAlignment="1">
      <alignment horizontal="center" vertical="center" wrapText="1"/>
    </xf>
    <xf numFmtId="0" fontId="151" fillId="0" borderId="0" xfId="0" applyFont="1" applyAlignment="1">
      <alignment horizontal="center" vertical="center" wrapText="1" readingOrder="1"/>
    </xf>
    <xf numFmtId="0" fontId="143" fillId="0" borderId="77" xfId="0" applyFont="1" applyBorder="1" applyAlignment="1">
      <alignment horizontal="center" vertical="center" wrapText="1" readingOrder="1"/>
    </xf>
    <xf numFmtId="0" fontId="141" fillId="48" borderId="78" xfId="0" applyFont="1" applyFill="1" applyBorder="1" applyAlignment="1">
      <alignment horizontal="center" vertical="center" wrapText="1" readingOrder="1"/>
    </xf>
    <xf numFmtId="0" fontId="141" fillId="48" borderId="79" xfId="0" applyFont="1" applyFill="1" applyBorder="1" applyAlignment="1">
      <alignment horizontal="center" vertical="center" wrapText="1" readingOrder="1"/>
    </xf>
    <xf numFmtId="0" fontId="141" fillId="48" borderId="80" xfId="0" applyFont="1" applyFill="1" applyBorder="1" applyAlignment="1">
      <alignment horizontal="center" vertical="center" wrapText="1" readingOrder="1"/>
    </xf>
    <xf numFmtId="0" fontId="141" fillId="48" borderId="81" xfId="0" applyFont="1" applyFill="1" applyBorder="1" applyAlignment="1">
      <alignment horizontal="center" vertical="center" wrapText="1" readingOrder="1"/>
    </xf>
    <xf numFmtId="0" fontId="141" fillId="48" borderId="82" xfId="0" applyFont="1" applyFill="1" applyBorder="1" applyAlignment="1">
      <alignment horizontal="center" vertical="center" wrapText="1" readingOrder="1"/>
    </xf>
    <xf numFmtId="0" fontId="143" fillId="48" borderId="83" xfId="0" applyFont="1" applyFill="1" applyBorder="1" applyAlignment="1">
      <alignment horizontal="center" vertical="center" wrapText="1" readingOrder="1"/>
    </xf>
    <xf numFmtId="0" fontId="143" fillId="48" borderId="84" xfId="0" applyFont="1" applyFill="1" applyBorder="1" applyAlignment="1">
      <alignment horizontal="center" vertical="center" wrapText="1" readingOrder="1"/>
    </xf>
    <xf numFmtId="0" fontId="141" fillId="48" borderId="83" xfId="0" applyFont="1" applyFill="1" applyBorder="1" applyAlignment="1">
      <alignment horizontal="center" vertical="center" wrapText="1" readingOrder="1"/>
    </xf>
    <xf numFmtId="0" fontId="141" fillId="48" borderId="84" xfId="0" applyFont="1" applyFill="1" applyBorder="1" applyAlignment="1">
      <alignment horizontal="center" vertical="center" wrapText="1" readingOrder="1"/>
    </xf>
    <xf numFmtId="9" fontId="142" fillId="48" borderId="78" xfId="0" applyNumberFormat="1" applyFont="1" applyFill="1" applyBorder="1" applyAlignment="1">
      <alignment horizontal="center" vertical="center" wrapText="1" readingOrder="1"/>
    </xf>
    <xf numFmtId="9" fontId="142" fillId="48" borderId="80" xfId="0" applyNumberFormat="1" applyFont="1" applyFill="1" applyBorder="1" applyAlignment="1">
      <alignment horizontal="center" vertical="center" wrapText="1" readingOrder="1"/>
    </xf>
    <xf numFmtId="9" fontId="143" fillId="0" borderId="78" xfId="0" applyNumberFormat="1" applyFont="1" applyBorder="1" applyAlignment="1">
      <alignment horizontal="center" vertical="center" wrapText="1" readingOrder="1"/>
    </xf>
    <xf numFmtId="9" fontId="143" fillId="0" borderId="80" xfId="0" applyNumberFormat="1" applyFont="1" applyBorder="1" applyAlignment="1">
      <alignment horizontal="center" vertical="center" wrapText="1" readingOrder="1"/>
    </xf>
    <xf numFmtId="9" fontId="143" fillId="0" borderId="79" xfId="0" applyNumberFormat="1" applyFont="1" applyBorder="1" applyAlignment="1">
      <alignment horizontal="center" vertical="center" wrapText="1" readingOrder="1"/>
    </xf>
    <xf numFmtId="0" fontId="151" fillId="0" borderId="77" xfId="0" applyFont="1" applyBorder="1" applyAlignment="1">
      <alignment horizontal="center" vertical="center" wrapText="1" readingOrder="1"/>
    </xf>
    <xf numFmtId="0" fontId="141" fillId="48" borderId="85" xfId="0" applyFont="1" applyFill="1" applyBorder="1" applyAlignment="1">
      <alignment horizontal="center" vertical="center" wrapText="1" readingOrder="1"/>
    </xf>
    <xf numFmtId="0" fontId="141" fillId="48" borderId="86" xfId="0" applyFont="1" applyFill="1" applyBorder="1" applyAlignment="1">
      <alignment horizontal="center" vertical="center" wrapText="1" readingOrder="1"/>
    </xf>
    <xf numFmtId="0" fontId="141" fillId="48" borderId="87" xfId="0" applyFont="1" applyFill="1" applyBorder="1" applyAlignment="1">
      <alignment horizontal="center" vertical="center" wrapText="1" readingOrder="1"/>
    </xf>
    <xf numFmtId="0" fontId="144" fillId="48" borderId="81" xfId="0" applyFont="1" applyFill="1" applyBorder="1" applyAlignment="1">
      <alignment horizontal="center" vertical="center" wrapText="1" readingOrder="1"/>
    </xf>
    <xf numFmtId="0" fontId="144" fillId="48" borderId="82" xfId="0" applyFont="1" applyFill="1" applyBorder="1" applyAlignment="1">
      <alignment horizontal="center" vertical="center" wrapText="1" readingOrder="1"/>
    </xf>
    <xf numFmtId="0" fontId="152" fillId="48" borderId="83" xfId="0" applyFont="1" applyFill="1" applyBorder="1" applyAlignment="1">
      <alignment horizontal="center" vertical="center" wrapText="1" readingOrder="1"/>
    </xf>
    <xf numFmtId="0" fontId="152" fillId="48" borderId="84" xfId="0" applyFont="1" applyFill="1" applyBorder="1" applyAlignment="1">
      <alignment horizontal="center" vertical="center" wrapText="1" readingOrder="1"/>
    </xf>
    <xf numFmtId="0" fontId="144" fillId="48" borderId="83" xfId="0" applyFont="1" applyFill="1" applyBorder="1" applyAlignment="1">
      <alignment horizontal="center" vertical="center" wrapText="1" readingOrder="1"/>
    </xf>
    <xf numFmtId="0" fontId="144" fillId="48" borderId="84" xfId="0" applyFont="1" applyFill="1" applyBorder="1" applyAlignment="1">
      <alignment horizontal="center" vertical="center" wrapText="1" readingOrder="1"/>
    </xf>
    <xf numFmtId="9" fontId="145" fillId="48" borderId="78" xfId="0" applyNumberFormat="1" applyFont="1" applyFill="1" applyBorder="1" applyAlignment="1">
      <alignment horizontal="center" vertical="center" wrapText="1" readingOrder="1"/>
    </xf>
    <xf numFmtId="9" fontId="145" fillId="48" borderId="79" xfId="0" applyNumberFormat="1" applyFont="1" applyFill="1" applyBorder="1" applyAlignment="1">
      <alignment horizontal="center" vertical="center" wrapText="1" readingOrder="1"/>
    </xf>
    <xf numFmtId="9" fontId="145" fillId="48" borderId="80" xfId="0" applyNumberFormat="1" applyFont="1" applyFill="1" applyBorder="1" applyAlignment="1">
      <alignment horizontal="center" vertical="center" wrapText="1" readingOrder="1"/>
    </xf>
    <xf numFmtId="9" fontId="146" fillId="50" borderId="78" xfId="0" applyNumberFormat="1" applyFont="1" applyFill="1" applyBorder="1" applyAlignment="1">
      <alignment horizontal="center" vertical="center" wrapText="1" readingOrder="1"/>
    </xf>
    <xf numFmtId="9" fontId="146" fillId="50" borderId="79" xfId="0" applyNumberFormat="1" applyFont="1" applyFill="1" applyBorder="1" applyAlignment="1">
      <alignment horizontal="center" vertical="center" wrapText="1" readingOrder="1"/>
    </xf>
    <xf numFmtId="9" fontId="146" fillId="50" borderId="80" xfId="0" applyNumberFormat="1" applyFont="1" applyFill="1" applyBorder="1" applyAlignment="1">
      <alignment horizontal="center" vertical="center" wrapText="1" readingOrder="1"/>
    </xf>
    <xf numFmtId="9" fontId="146" fillId="0" borderId="78" xfId="0" applyNumberFormat="1" applyFont="1" applyBorder="1" applyAlignment="1">
      <alignment horizontal="center" vertical="center" wrapText="1" readingOrder="1"/>
    </xf>
    <xf numFmtId="9" fontId="146" fillId="0" borderId="79" xfId="0" applyNumberFormat="1" applyFont="1" applyBorder="1" applyAlignment="1">
      <alignment horizontal="center" vertical="center" wrapText="1" readingOrder="1"/>
    </xf>
    <xf numFmtId="9" fontId="146" fillId="0" borderId="80" xfId="0" applyNumberFormat="1" applyFont="1" applyBorder="1" applyAlignment="1">
      <alignment horizontal="center" vertical="center" wrapText="1" readingOrder="1"/>
    </xf>
    <xf numFmtId="0" fontId="146" fillId="50" borderId="78" xfId="0" applyFont="1" applyFill="1" applyBorder="1" applyAlignment="1">
      <alignment horizontal="center" vertical="center" wrapText="1" readingOrder="1"/>
    </xf>
    <xf numFmtId="0" fontId="146" fillId="50" borderId="80" xfId="0" applyFont="1" applyFill="1" applyBorder="1" applyAlignment="1">
      <alignment horizontal="center"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dxfs count="35">
    <dxf>
      <font>
        <color theme="0"/>
      </font>
    </dxf>
    <dxf>
      <fill>
        <patternFill>
          <bgColor theme="9" tint="0.7999799847602844"/>
        </patternFill>
      </fill>
    </dxf>
    <dxf>
      <border>
        <left style="thin">
          <color rgb="FFFF0000"/>
        </left>
        <right style="thin">
          <color rgb="FFFF0000"/>
        </right>
        <top style="thin">
          <color rgb="FFFF0000"/>
        </top>
        <bottom style="thin">
          <color rgb="FFFF0000"/>
        </bottom>
      </border>
    </dxf>
    <dxf>
      <font>
        <color theme="0"/>
      </font>
    </dxf>
    <dxf>
      <border>
        <left style="thin">
          <color rgb="FFFF0000"/>
        </left>
        <right style="thin">
          <color rgb="FFFF0000"/>
        </right>
        <top style="thin">
          <color rgb="FFFF0000"/>
        </top>
        <bottom style="thin">
          <color rgb="FFFF0000"/>
        </bottom>
      </border>
    </dxf>
    <dxf>
      <fill>
        <patternFill>
          <bgColor theme="9" tint="0.3999499976634979"/>
        </patternFill>
      </fill>
      <border>
        <left style="thin">
          <color theme="3" tint="0.3999499976634979"/>
        </left>
        <right style="thin">
          <color theme="3" tint="0.3999499976634979"/>
        </right>
        <top style="thin">
          <color theme="3" tint="0.3999499976634979"/>
        </top>
        <bottom style="thin">
          <color theme="3" tint="0.3999499976634979"/>
        </bottom>
      </border>
    </dxf>
    <dxf>
      <font>
        <b/>
        <i val="0"/>
      </font>
      <fill>
        <patternFill>
          <bgColor rgb="FFFFFF99"/>
        </patternFill>
      </fill>
    </dxf>
    <dxf>
      <font>
        <color theme="0"/>
      </font>
    </dxf>
    <dxf>
      <fill>
        <patternFill>
          <bgColor theme="9" tint="0.7999799847602844"/>
        </patternFill>
      </fill>
    </dxf>
    <dxf>
      <fill>
        <patternFill>
          <bgColor theme="9" tint="0.7999799847602844"/>
        </patternFill>
      </fill>
    </dxf>
    <dxf>
      <font>
        <color theme="0"/>
      </font>
    </dxf>
    <dxf>
      <fill>
        <patternFill>
          <bgColor theme="9" tint="0.7999799847602844"/>
        </patternFill>
      </fill>
    </dxf>
    <dxf>
      <border>
        <left style="thin"/>
        <right style="thin"/>
        <top style="thin"/>
        <bottom style="thin"/>
      </border>
    </dxf>
    <dxf>
      <border>
        <left style="thin">
          <color rgb="FFFF0000"/>
        </left>
        <right style="thin">
          <color rgb="FFFF0000"/>
        </right>
        <top style="thin">
          <color rgb="FFFF0000"/>
        </top>
        <bottom style="thin">
          <color rgb="FFFF0000"/>
        </bottom>
      </border>
    </dxf>
    <dxf>
      <border>
        <left style="thin"/>
        <right style="thin"/>
        <top style="thin"/>
        <bottom style="thin"/>
      </border>
    </dxf>
    <dxf>
      <font>
        <color theme="0"/>
      </font>
      <fill>
        <patternFill>
          <bgColor rgb="FF7030A0"/>
        </patternFill>
      </fill>
    </dxf>
    <dxf>
      <font>
        <color theme="0"/>
      </font>
      <fill>
        <patternFill>
          <bgColor rgb="FF7030A0"/>
        </patternFill>
      </fill>
    </dxf>
    <dxf>
      <font>
        <color theme="0"/>
      </font>
      <fill>
        <patternFill>
          <bgColor rgb="FF7030A0"/>
        </patternFill>
      </fill>
    </dxf>
    <dxf>
      <border>
        <left/>
        <right/>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right style="thin"/>
        <top style="thin"/>
      </border>
    </dxf>
    <dxf>
      <border>
        <top style="thin"/>
      </border>
    </dxf>
    <dxf>
      <border>
        <left style="thin"/>
        <bottom style="thin"/>
      </border>
    </dxf>
    <dxf>
      <border>
        <right style="thin"/>
        <bottom style="thin"/>
      </border>
    </dxf>
    <dxf>
      <border>
        <right style="thin"/>
      </border>
    </dxf>
    <dxf>
      <border>
        <right/>
        <bottom style="thin"/>
      </border>
    </dxf>
    <dxf>
      <font>
        <color rgb="FFFF0000"/>
      </font>
    </dxf>
    <dxf>
      <border>
        <right>
          <color rgb="FF000000"/>
        </right>
        <bottom style="thin">
          <color rgb="FF000000"/>
        </bottom>
      </border>
    </dxf>
    <dxf>
      <border>
        <right style="thin">
          <color rgb="FF000000"/>
        </right>
      </border>
    </dxf>
    <dxf>
      <border>
        <right style="thin">
          <color rgb="FF000000"/>
        </right>
        <bottom style="thin">
          <color rgb="FF000000"/>
        </bottom>
      </border>
    </dxf>
    <dxf>
      <border>
        <left style="thin">
          <color rgb="FF000000"/>
        </left>
        <bottom style="thin">
          <color rgb="FF000000"/>
        </bottom>
      </border>
    </dxf>
    <dxf>
      <border>
        <top style="thin">
          <color rgb="FF000000"/>
        </top>
      </border>
    </dxf>
    <dxf>
      <border>
        <right style="thin">
          <color rgb="FF000000"/>
        </right>
        <top style="thin">
          <color rgb="FF000000"/>
        </top>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1</xdr:row>
      <xdr:rowOff>95250</xdr:rowOff>
    </xdr:from>
    <xdr:to>
      <xdr:col>16</xdr:col>
      <xdr:colOff>161925</xdr:colOff>
      <xdr:row>4</xdr:row>
      <xdr:rowOff>38100</xdr:rowOff>
    </xdr:to>
    <xdr:grpSp>
      <xdr:nvGrpSpPr>
        <xdr:cNvPr id="1" name="Grupo 29"/>
        <xdr:cNvGrpSpPr>
          <a:grpSpLocks/>
        </xdr:cNvGrpSpPr>
      </xdr:nvGrpSpPr>
      <xdr:grpSpPr>
        <a:xfrm>
          <a:off x="8620125" y="257175"/>
          <a:ext cx="2057400" cy="504825"/>
          <a:chOff x="3568779" y="5427315"/>
          <a:chExt cx="2697742" cy="616641"/>
        </a:xfrm>
        <a:solidFill>
          <a:srgbClr val="FFFFFF"/>
        </a:solidFill>
      </xdr:grpSpPr>
      <xdr:pic>
        <xdr:nvPicPr>
          <xdr:cNvPr id="2" name="20 Imagen"/>
          <xdr:cNvPicPr preferRelativeResize="1">
            <a:picLocks noChangeAspect="1"/>
          </xdr:cNvPicPr>
        </xdr:nvPicPr>
        <xdr:blipFill>
          <a:blip r:embed="rId1"/>
          <a:srcRect l="22604"/>
          <a:stretch>
            <a:fillRect/>
          </a:stretch>
        </xdr:blipFill>
        <xdr:spPr>
          <a:xfrm>
            <a:off x="4053024" y="5427315"/>
            <a:ext cx="2213497" cy="616641"/>
          </a:xfrm>
          <a:prstGeom prst="rect">
            <a:avLst/>
          </a:prstGeom>
          <a:noFill/>
          <a:ln w="9525" cmpd="sng">
            <a:noFill/>
          </a:ln>
        </xdr:spPr>
      </xdr:pic>
      <xdr:pic>
        <xdr:nvPicPr>
          <xdr:cNvPr id="3" name="Imagen 31"/>
          <xdr:cNvPicPr preferRelativeResize="1">
            <a:picLocks noChangeAspect="1"/>
          </xdr:cNvPicPr>
        </xdr:nvPicPr>
        <xdr:blipFill>
          <a:blip r:embed="rId2"/>
          <a:srcRect r="79331"/>
          <a:stretch>
            <a:fillRect/>
          </a:stretch>
        </xdr:blipFill>
        <xdr:spPr>
          <a:xfrm>
            <a:off x="3568779" y="5458301"/>
            <a:ext cx="503129" cy="534474"/>
          </a:xfrm>
          <a:prstGeom prst="rect">
            <a:avLst/>
          </a:prstGeom>
          <a:noFill/>
          <a:ln w="9525" cmpd="sng">
            <a:noFill/>
          </a:ln>
        </xdr:spPr>
      </xdr:pic>
    </xdr:grpSp>
    <xdr:clientData/>
  </xdr:twoCellAnchor>
  <xdr:twoCellAnchor>
    <xdr:from>
      <xdr:col>6</xdr:col>
      <xdr:colOff>57150</xdr:colOff>
      <xdr:row>20</xdr:row>
      <xdr:rowOff>9525</xdr:rowOff>
    </xdr:from>
    <xdr:to>
      <xdr:col>15</xdr:col>
      <xdr:colOff>28575</xdr:colOff>
      <xdr:row>20</xdr:row>
      <xdr:rowOff>9525</xdr:rowOff>
    </xdr:to>
    <xdr:sp>
      <xdr:nvSpPr>
        <xdr:cNvPr id="4" name="11 Conector recto"/>
        <xdr:cNvSpPr>
          <a:spLocks/>
        </xdr:cNvSpPr>
      </xdr:nvSpPr>
      <xdr:spPr>
        <a:xfrm>
          <a:off x="4010025" y="3609975"/>
          <a:ext cx="6372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20</xdr:row>
      <xdr:rowOff>95250</xdr:rowOff>
    </xdr:from>
    <xdr:to>
      <xdr:col>18</xdr:col>
      <xdr:colOff>0</xdr:colOff>
      <xdr:row>20</xdr:row>
      <xdr:rowOff>95250</xdr:rowOff>
    </xdr:to>
    <xdr:sp>
      <xdr:nvSpPr>
        <xdr:cNvPr id="5" name="7 Conector angular"/>
        <xdr:cNvSpPr>
          <a:spLocks/>
        </xdr:cNvSpPr>
      </xdr:nvSpPr>
      <xdr:spPr>
        <a:xfrm>
          <a:off x="10753725" y="3695700"/>
          <a:ext cx="0" cy="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28575</xdr:colOff>
      <xdr:row>7</xdr:row>
      <xdr:rowOff>95250</xdr:rowOff>
    </xdr:from>
    <xdr:to>
      <xdr:col>20</xdr:col>
      <xdr:colOff>457200</xdr:colOff>
      <xdr:row>7</xdr:row>
      <xdr:rowOff>95250</xdr:rowOff>
    </xdr:to>
    <xdr:sp>
      <xdr:nvSpPr>
        <xdr:cNvPr id="6" name="8 Conector angular"/>
        <xdr:cNvSpPr>
          <a:spLocks/>
        </xdr:cNvSpPr>
      </xdr:nvSpPr>
      <xdr:spPr>
        <a:xfrm>
          <a:off x="10753725" y="1485900"/>
          <a:ext cx="0" cy="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85725</xdr:colOff>
      <xdr:row>33</xdr:row>
      <xdr:rowOff>28575</xdr:rowOff>
    </xdr:from>
    <xdr:to>
      <xdr:col>15</xdr:col>
      <xdr:colOff>28575</xdr:colOff>
      <xdr:row>33</xdr:row>
      <xdr:rowOff>28575</xdr:rowOff>
    </xdr:to>
    <xdr:sp>
      <xdr:nvSpPr>
        <xdr:cNvPr id="7" name="11 Conector recto"/>
        <xdr:cNvSpPr>
          <a:spLocks/>
        </xdr:cNvSpPr>
      </xdr:nvSpPr>
      <xdr:spPr>
        <a:xfrm>
          <a:off x="4038600" y="6219825"/>
          <a:ext cx="634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39</xdr:row>
      <xdr:rowOff>28575</xdr:rowOff>
    </xdr:from>
    <xdr:to>
      <xdr:col>14</xdr:col>
      <xdr:colOff>723900</xdr:colOff>
      <xdr:row>39</xdr:row>
      <xdr:rowOff>28575</xdr:rowOff>
    </xdr:to>
    <xdr:sp>
      <xdr:nvSpPr>
        <xdr:cNvPr id="8" name="14 Conector recto"/>
        <xdr:cNvSpPr>
          <a:spLocks/>
        </xdr:cNvSpPr>
      </xdr:nvSpPr>
      <xdr:spPr>
        <a:xfrm flipV="1">
          <a:off x="4029075" y="7362825"/>
          <a:ext cx="621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257175</xdr:colOff>
      <xdr:row>23</xdr:row>
      <xdr:rowOff>104775</xdr:rowOff>
    </xdr:from>
    <xdr:to>
      <xdr:col>13</xdr:col>
      <xdr:colOff>504825</xdr:colOff>
      <xdr:row>23</xdr:row>
      <xdr:rowOff>104775</xdr:rowOff>
    </xdr:to>
    <xdr:sp>
      <xdr:nvSpPr>
        <xdr:cNvPr id="9" name="2 Conector recto de flecha"/>
        <xdr:cNvSpPr>
          <a:spLocks/>
        </xdr:cNvSpPr>
      </xdr:nvSpPr>
      <xdr:spPr>
        <a:xfrm>
          <a:off x="7543800" y="4276725"/>
          <a:ext cx="1914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1104900</xdr:colOff>
      <xdr:row>21</xdr:row>
      <xdr:rowOff>114300</xdr:rowOff>
    </xdr:from>
    <xdr:to>
      <xdr:col>2</xdr:col>
      <xdr:colOff>2238375</xdr:colOff>
      <xdr:row>21</xdr:row>
      <xdr:rowOff>114300</xdr:rowOff>
    </xdr:to>
    <xdr:sp>
      <xdr:nvSpPr>
        <xdr:cNvPr id="10" name="2 Conector recto de flecha"/>
        <xdr:cNvSpPr>
          <a:spLocks/>
        </xdr:cNvSpPr>
      </xdr:nvSpPr>
      <xdr:spPr>
        <a:xfrm>
          <a:off x="1447800" y="3905250"/>
          <a:ext cx="1133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1695450</xdr:colOff>
      <xdr:row>33</xdr:row>
      <xdr:rowOff>123825</xdr:rowOff>
    </xdr:from>
    <xdr:to>
      <xdr:col>2</xdr:col>
      <xdr:colOff>2238375</xdr:colOff>
      <xdr:row>33</xdr:row>
      <xdr:rowOff>123825</xdr:rowOff>
    </xdr:to>
    <xdr:sp>
      <xdr:nvSpPr>
        <xdr:cNvPr id="11" name="2 Conector recto de flecha"/>
        <xdr:cNvSpPr>
          <a:spLocks/>
        </xdr:cNvSpPr>
      </xdr:nvSpPr>
      <xdr:spPr>
        <a:xfrm>
          <a:off x="2038350" y="6315075"/>
          <a:ext cx="542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24</xdr:col>
      <xdr:colOff>0</xdr:colOff>
      <xdr:row>108</xdr:row>
      <xdr:rowOff>0</xdr:rowOff>
    </xdr:from>
    <xdr:to>
      <xdr:col>25</xdr:col>
      <xdr:colOff>0</xdr:colOff>
      <xdr:row>108</xdr:row>
      <xdr:rowOff>9525</xdr:rowOff>
    </xdr:to>
    <xdr:pic>
      <xdr:nvPicPr>
        <xdr:cNvPr id="12" name="22 Imagen" descr="http://sintranet04:8080/icons/ecblank.gif"/>
        <xdr:cNvPicPr preferRelativeResize="1">
          <a:picLocks noChangeAspect="1"/>
        </xdr:cNvPicPr>
      </xdr:nvPicPr>
      <xdr:blipFill>
        <a:blip r:embed="rId3"/>
        <a:stretch>
          <a:fillRect/>
        </a:stretch>
      </xdr:blipFill>
      <xdr:spPr>
        <a:xfrm>
          <a:off x="10753725" y="18792825"/>
          <a:ext cx="0" cy="9525"/>
        </a:xfrm>
        <a:prstGeom prst="rect">
          <a:avLst/>
        </a:prstGeom>
        <a:noFill/>
        <a:ln w="9525" cmpd="sng">
          <a:noFill/>
        </a:ln>
      </xdr:spPr>
    </xdr:pic>
    <xdr:clientData/>
  </xdr:twoCellAnchor>
  <xdr:twoCellAnchor editAs="oneCell">
    <xdr:from>
      <xdr:col>24</xdr:col>
      <xdr:colOff>0</xdr:colOff>
      <xdr:row>109</xdr:row>
      <xdr:rowOff>0</xdr:rowOff>
    </xdr:from>
    <xdr:to>
      <xdr:col>25</xdr:col>
      <xdr:colOff>0</xdr:colOff>
      <xdr:row>109</xdr:row>
      <xdr:rowOff>9525</xdr:rowOff>
    </xdr:to>
    <xdr:pic>
      <xdr:nvPicPr>
        <xdr:cNvPr id="13" name="23 Imagen" descr="http://sintranet04:8080/icons/ecblank.gif"/>
        <xdr:cNvPicPr preferRelativeResize="1">
          <a:picLocks noChangeAspect="1"/>
        </xdr:cNvPicPr>
      </xdr:nvPicPr>
      <xdr:blipFill>
        <a:blip r:embed="rId3"/>
        <a:stretch>
          <a:fillRect/>
        </a:stretch>
      </xdr:blipFill>
      <xdr:spPr>
        <a:xfrm>
          <a:off x="10753725" y="18935700"/>
          <a:ext cx="0" cy="9525"/>
        </a:xfrm>
        <a:prstGeom prst="rect">
          <a:avLst/>
        </a:prstGeom>
        <a:noFill/>
        <a:ln w="9525" cmpd="sng">
          <a:noFill/>
        </a:ln>
      </xdr:spPr>
    </xdr:pic>
    <xdr:clientData/>
  </xdr:twoCellAnchor>
  <xdr:twoCellAnchor editAs="oneCell">
    <xdr:from>
      <xdr:col>24</xdr:col>
      <xdr:colOff>0</xdr:colOff>
      <xdr:row>117</xdr:row>
      <xdr:rowOff>0</xdr:rowOff>
    </xdr:from>
    <xdr:to>
      <xdr:col>25</xdr:col>
      <xdr:colOff>0</xdr:colOff>
      <xdr:row>117</xdr:row>
      <xdr:rowOff>9525</xdr:rowOff>
    </xdr:to>
    <xdr:pic>
      <xdr:nvPicPr>
        <xdr:cNvPr id="14" name="24 Imagen" descr="http://sintranet04:8080/icons/ecblank.gif"/>
        <xdr:cNvPicPr preferRelativeResize="1">
          <a:picLocks noChangeAspect="1"/>
        </xdr:cNvPicPr>
      </xdr:nvPicPr>
      <xdr:blipFill>
        <a:blip r:embed="rId3"/>
        <a:stretch>
          <a:fillRect/>
        </a:stretch>
      </xdr:blipFill>
      <xdr:spPr>
        <a:xfrm>
          <a:off x="10753725" y="20135850"/>
          <a:ext cx="0" cy="9525"/>
        </a:xfrm>
        <a:prstGeom prst="rect">
          <a:avLst/>
        </a:prstGeom>
        <a:noFill/>
        <a:ln w="9525" cmpd="sng">
          <a:noFill/>
        </a:ln>
      </xdr:spPr>
    </xdr:pic>
    <xdr:clientData/>
  </xdr:twoCellAnchor>
  <xdr:twoCellAnchor editAs="oneCell">
    <xdr:from>
      <xdr:col>24</xdr:col>
      <xdr:colOff>0</xdr:colOff>
      <xdr:row>117</xdr:row>
      <xdr:rowOff>0</xdr:rowOff>
    </xdr:from>
    <xdr:to>
      <xdr:col>25</xdr:col>
      <xdr:colOff>0</xdr:colOff>
      <xdr:row>117</xdr:row>
      <xdr:rowOff>9525</xdr:rowOff>
    </xdr:to>
    <xdr:pic>
      <xdr:nvPicPr>
        <xdr:cNvPr id="15" name="25 Imagen" descr="http://sintranet04:8080/icons/ecblank.gif"/>
        <xdr:cNvPicPr preferRelativeResize="1">
          <a:picLocks noChangeAspect="1"/>
        </xdr:cNvPicPr>
      </xdr:nvPicPr>
      <xdr:blipFill>
        <a:blip r:embed="rId3"/>
        <a:stretch>
          <a:fillRect/>
        </a:stretch>
      </xdr:blipFill>
      <xdr:spPr>
        <a:xfrm>
          <a:off x="10753725" y="20135850"/>
          <a:ext cx="0" cy="9525"/>
        </a:xfrm>
        <a:prstGeom prst="rect">
          <a:avLst/>
        </a:prstGeom>
        <a:noFill/>
        <a:ln w="9525" cmpd="sng">
          <a:noFill/>
        </a:ln>
      </xdr:spPr>
    </xdr:pic>
    <xdr:clientData/>
  </xdr:twoCellAnchor>
  <xdr:twoCellAnchor editAs="oneCell">
    <xdr:from>
      <xdr:col>1</xdr:col>
      <xdr:colOff>28575</xdr:colOff>
      <xdr:row>1</xdr:row>
      <xdr:rowOff>47625</xdr:rowOff>
    </xdr:from>
    <xdr:to>
      <xdr:col>2</xdr:col>
      <xdr:colOff>2057400</xdr:colOff>
      <xdr:row>4</xdr:row>
      <xdr:rowOff>0</xdr:rowOff>
    </xdr:to>
    <xdr:pic>
      <xdr:nvPicPr>
        <xdr:cNvPr id="16" name="Imagen 28"/>
        <xdr:cNvPicPr preferRelativeResize="1">
          <a:picLocks noChangeAspect="1"/>
        </xdr:cNvPicPr>
      </xdr:nvPicPr>
      <xdr:blipFill>
        <a:blip r:embed="rId4"/>
        <a:stretch>
          <a:fillRect/>
        </a:stretch>
      </xdr:blipFill>
      <xdr:spPr>
        <a:xfrm>
          <a:off x="133350" y="209550"/>
          <a:ext cx="22669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666750</xdr:colOff>
      <xdr:row>2</xdr:row>
      <xdr:rowOff>76200</xdr:rowOff>
    </xdr:to>
    <xdr:pic>
      <xdr:nvPicPr>
        <xdr:cNvPr id="1" name="Imagen 6"/>
        <xdr:cNvPicPr preferRelativeResize="1">
          <a:picLocks noChangeAspect="1"/>
        </xdr:cNvPicPr>
      </xdr:nvPicPr>
      <xdr:blipFill>
        <a:blip r:embed="rId1"/>
        <a:stretch>
          <a:fillRect/>
        </a:stretch>
      </xdr:blipFill>
      <xdr:spPr>
        <a:xfrm>
          <a:off x="0" y="0"/>
          <a:ext cx="21621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2057400</xdr:colOff>
      <xdr:row>1</xdr:row>
      <xdr:rowOff>9525</xdr:rowOff>
    </xdr:to>
    <xdr:pic>
      <xdr:nvPicPr>
        <xdr:cNvPr id="1" name="Imagen 5"/>
        <xdr:cNvPicPr preferRelativeResize="1">
          <a:picLocks noChangeAspect="1"/>
        </xdr:cNvPicPr>
      </xdr:nvPicPr>
      <xdr:blipFill>
        <a:blip r:embed="rId1"/>
        <a:stretch>
          <a:fillRect/>
        </a:stretch>
      </xdr:blipFill>
      <xdr:spPr>
        <a:xfrm>
          <a:off x="0" y="0"/>
          <a:ext cx="20574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20</xdr:row>
      <xdr:rowOff>0</xdr:rowOff>
    </xdr:from>
    <xdr:to>
      <xdr:col>2</xdr:col>
      <xdr:colOff>9525</xdr:colOff>
      <xdr:row>20</xdr:row>
      <xdr:rowOff>9525</xdr:rowOff>
    </xdr:to>
    <xdr:pic>
      <xdr:nvPicPr>
        <xdr:cNvPr id="1" name="26 Imagen" descr="http://sintranet04:8080/icons/ecblank.gif"/>
        <xdr:cNvPicPr preferRelativeResize="1">
          <a:picLocks noChangeAspect="1"/>
        </xdr:cNvPicPr>
      </xdr:nvPicPr>
      <xdr:blipFill>
        <a:blip r:embed="rId1"/>
        <a:stretch>
          <a:fillRect/>
        </a:stretch>
      </xdr:blipFill>
      <xdr:spPr>
        <a:xfrm>
          <a:off x="2495550" y="4333875"/>
          <a:ext cx="9525" cy="9525"/>
        </a:xfrm>
        <a:prstGeom prst="rect">
          <a:avLst/>
        </a:prstGeom>
        <a:noFill/>
        <a:ln w="9525" cmpd="sng">
          <a:noFill/>
        </a:ln>
      </xdr:spPr>
    </xdr:pic>
    <xdr:clientData/>
  </xdr:twoCellAnchor>
  <xdr:twoCellAnchor>
    <xdr:from>
      <xdr:col>6</xdr:col>
      <xdr:colOff>28575</xdr:colOff>
      <xdr:row>36</xdr:row>
      <xdr:rowOff>47625</xdr:rowOff>
    </xdr:from>
    <xdr:to>
      <xdr:col>8</xdr:col>
      <xdr:colOff>1133475</xdr:colOff>
      <xdr:row>37</xdr:row>
      <xdr:rowOff>266700</xdr:rowOff>
    </xdr:to>
    <xdr:pic>
      <xdr:nvPicPr>
        <xdr:cNvPr id="2" name="Imagen 3" descr="image003"/>
        <xdr:cNvPicPr preferRelativeResize="1">
          <a:picLocks noChangeAspect="1"/>
        </xdr:cNvPicPr>
      </xdr:nvPicPr>
      <xdr:blipFill>
        <a:blip r:embed="rId2"/>
        <a:stretch>
          <a:fillRect/>
        </a:stretch>
      </xdr:blipFill>
      <xdr:spPr>
        <a:xfrm>
          <a:off x="5572125" y="7934325"/>
          <a:ext cx="30765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
    <pageSetUpPr fitToPage="1"/>
  </sheetPr>
  <dimension ref="A1:AO114"/>
  <sheetViews>
    <sheetView showGridLines="0" showRowColHeaders="0" tabSelected="1" zoomScale="90" zoomScaleNormal="90" zoomScalePageLayoutView="0" workbookViewId="0" topLeftCell="A1">
      <selection activeCell="D23" sqref="D23"/>
    </sheetView>
  </sheetViews>
  <sheetFormatPr defaultColWidth="4.00390625" defaultRowHeight="12.75"/>
  <cols>
    <col min="1" max="1" width="1.57421875" style="2" customWidth="1"/>
    <col min="2" max="2" width="3.57421875" style="2" customWidth="1"/>
    <col min="3" max="3" width="34.00390625" style="2" customWidth="1"/>
    <col min="4" max="4" width="17.00390625" style="2" customWidth="1"/>
    <col min="5" max="6" width="1.57421875" style="2" customWidth="1"/>
    <col min="7" max="7" width="10.57421875" style="2" customWidth="1"/>
    <col min="8" max="8" width="11.421875" style="2" customWidth="1"/>
    <col min="9" max="9" width="14.57421875" style="2" customWidth="1"/>
    <col min="10" max="10" width="2.8515625" style="3" customWidth="1"/>
    <col min="11" max="11" width="10.57421875" style="3" customWidth="1"/>
    <col min="12" max="12" width="15.57421875" style="3" customWidth="1"/>
    <col min="13" max="13" width="9.421875" style="3" customWidth="1"/>
    <col min="14" max="14" width="8.57421875" style="3" customWidth="1"/>
    <col min="15" max="15" width="12.421875" style="3" customWidth="1"/>
    <col min="16" max="16" width="2.421875" style="3" customWidth="1"/>
    <col min="17" max="17" width="3.57421875" style="3" customWidth="1"/>
    <col min="18" max="18" width="2.00390625" style="3" hidden="1" customWidth="1"/>
    <col min="19" max="19" width="19.421875" style="3" hidden="1" customWidth="1"/>
    <col min="20" max="20" width="11.57421875" style="3" hidden="1" customWidth="1"/>
    <col min="21" max="21" width="16.57421875" style="2" hidden="1" customWidth="1"/>
    <col min="22" max="22" width="11.57421875" style="2" hidden="1" customWidth="1"/>
    <col min="23" max="23" width="13.00390625" style="2" hidden="1" customWidth="1"/>
    <col min="24" max="24" width="11.140625" style="2" hidden="1" customWidth="1"/>
    <col min="25" max="25" width="12.8515625" style="38" hidden="1" customWidth="1"/>
    <col min="26" max="26" width="13.140625" style="37" hidden="1" customWidth="1"/>
    <col min="27" max="27" width="16.421875" style="37" hidden="1" customWidth="1"/>
    <col min="28" max="28" width="12.140625" style="37" hidden="1" customWidth="1"/>
    <col min="29" max="29" width="16.57421875" style="37" hidden="1" customWidth="1"/>
    <col min="30" max="30" width="19.421875" style="37" hidden="1" customWidth="1"/>
    <col min="31" max="31" width="36.140625" style="37" hidden="1" customWidth="1"/>
    <col min="32" max="32" width="17.140625" style="37" hidden="1" customWidth="1"/>
    <col min="33" max="33" width="19.140625" style="2" hidden="1" customWidth="1"/>
    <col min="34" max="34" width="20.140625" style="2" hidden="1" customWidth="1"/>
    <col min="35" max="35" width="2.00390625" style="2" hidden="1" customWidth="1"/>
    <col min="36" max="38" width="6.57421875" style="2" hidden="1" customWidth="1"/>
    <col min="39" max="39" width="4.00390625" style="2" hidden="1" customWidth="1"/>
    <col min="40" max="40" width="0.85546875" style="2" hidden="1" customWidth="1"/>
    <col min="41" max="41" width="4.00390625" style="2" hidden="1" customWidth="1"/>
    <col min="42" max="51" width="4.00390625" style="2" customWidth="1"/>
    <col min="52" max="52" width="7.00390625" style="2" bestFit="1" customWidth="1"/>
    <col min="53" max="16384" width="4.00390625" style="2" customWidth="1"/>
  </cols>
  <sheetData>
    <row r="1" spans="18:41" ht="12.75" thickBot="1">
      <c r="R1" s="438" t="s">
        <v>119</v>
      </c>
      <c r="S1" s="438"/>
      <c r="T1" s="438"/>
      <c r="U1" s="439"/>
      <c r="V1" s="439"/>
      <c r="W1" s="439"/>
      <c r="X1" s="439"/>
      <c r="Y1" s="440"/>
      <c r="Z1" s="440"/>
      <c r="AA1" s="440"/>
      <c r="AB1" s="440"/>
      <c r="AC1" s="440"/>
      <c r="AD1" s="440"/>
      <c r="AE1" s="598"/>
      <c r="AF1" s="598"/>
      <c r="AO1" s="2" t="s">
        <v>326</v>
      </c>
    </row>
    <row r="2" spans="2:32" ht="12">
      <c r="B2" s="113"/>
      <c r="C2" s="114"/>
      <c r="D2" s="114"/>
      <c r="E2" s="114"/>
      <c r="F2" s="114"/>
      <c r="G2" s="114"/>
      <c r="H2" s="114"/>
      <c r="I2" s="114"/>
      <c r="J2" s="115"/>
      <c r="K2" s="115"/>
      <c r="L2" s="115"/>
      <c r="M2" s="115"/>
      <c r="N2" s="115"/>
      <c r="O2" s="115"/>
      <c r="P2" s="115"/>
      <c r="Q2" s="116"/>
      <c r="S2" s="507" t="s">
        <v>66</v>
      </c>
      <c r="T2" s="508"/>
      <c r="U2" s="508"/>
      <c r="V2" s="508"/>
      <c r="W2" s="508"/>
      <c r="X2" s="508"/>
      <c r="Y2" s="508"/>
      <c r="Z2" s="508"/>
      <c r="AA2" s="508"/>
      <c r="AE2" s="599" t="s">
        <v>329</v>
      </c>
      <c r="AF2" s="600"/>
    </row>
    <row r="3" spans="2:35" ht="20.25">
      <c r="B3" s="117"/>
      <c r="C3" s="619"/>
      <c r="D3" s="619"/>
      <c r="E3" s="619"/>
      <c r="F3" s="619"/>
      <c r="G3" s="619"/>
      <c r="H3" s="619"/>
      <c r="I3" s="619"/>
      <c r="J3" s="619"/>
      <c r="K3" s="619"/>
      <c r="L3" s="619"/>
      <c r="M3" s="619"/>
      <c r="N3" s="619"/>
      <c r="O3" s="619"/>
      <c r="P3" s="619"/>
      <c r="Q3" s="118"/>
      <c r="S3" s="508"/>
      <c r="T3" s="508"/>
      <c r="U3" s="508"/>
      <c r="V3" s="508"/>
      <c r="W3" s="508"/>
      <c r="X3" s="508"/>
      <c r="Y3" s="508"/>
      <c r="Z3" s="508"/>
      <c r="AA3" s="508"/>
      <c r="AE3" s="600"/>
      <c r="AF3" s="600"/>
      <c r="AI3" s="2">
        <f>IF(OR(U39=4,U39=5),"SI","")</f>
      </c>
    </row>
    <row r="4" spans="2:35" ht="12">
      <c r="B4" s="117"/>
      <c r="C4" s="43"/>
      <c r="D4" s="43"/>
      <c r="E4" s="43"/>
      <c r="F4" s="43"/>
      <c r="G4" s="43"/>
      <c r="H4" s="43"/>
      <c r="I4" s="43"/>
      <c r="J4" s="39"/>
      <c r="K4" s="39"/>
      <c r="L4" s="39"/>
      <c r="M4" s="39"/>
      <c r="N4" s="39"/>
      <c r="O4" s="39"/>
      <c r="P4" s="39"/>
      <c r="Q4" s="118"/>
      <c r="S4" s="633" t="s">
        <v>67</v>
      </c>
      <c r="T4" s="633"/>
      <c r="U4" s="633"/>
      <c r="V4" s="633"/>
      <c r="W4" s="633"/>
      <c r="X4" s="633"/>
      <c r="Y4" s="633"/>
      <c r="Z4" s="633"/>
      <c r="AA4" s="633"/>
      <c r="AE4" s="601" t="s">
        <v>87</v>
      </c>
      <c r="AF4" s="602">
        <f>O24</f>
        <v>0</v>
      </c>
      <c r="AI4" s="2">
        <f>IF(OR(U39=4,U39=5),"NO","")</f>
      </c>
    </row>
    <row r="5" spans="2:32" ht="20.25">
      <c r="B5" s="117"/>
      <c r="C5" s="619" t="s">
        <v>25</v>
      </c>
      <c r="D5" s="619"/>
      <c r="E5" s="619"/>
      <c r="F5" s="619"/>
      <c r="G5" s="619"/>
      <c r="H5" s="619"/>
      <c r="I5" s="619"/>
      <c r="J5" s="619"/>
      <c r="K5" s="619"/>
      <c r="L5" s="619"/>
      <c r="M5" s="619"/>
      <c r="N5" s="619"/>
      <c r="O5" s="619"/>
      <c r="P5" s="619"/>
      <c r="Q5" s="118"/>
      <c r="S5" s="509" t="s">
        <v>68</v>
      </c>
      <c r="T5" s="510"/>
      <c r="U5" s="510"/>
      <c r="V5" s="509" t="s">
        <v>69</v>
      </c>
      <c r="W5" s="510"/>
      <c r="X5" s="510"/>
      <c r="Y5" s="510"/>
      <c r="Z5" s="510"/>
      <c r="AA5" s="510"/>
      <c r="AE5" s="600"/>
      <c r="AF5" s="600"/>
    </row>
    <row r="6" spans="2:32" ht="20.25">
      <c r="B6" s="117"/>
      <c r="C6" s="619" t="s">
        <v>257</v>
      </c>
      <c r="D6" s="619"/>
      <c r="E6" s="619"/>
      <c r="F6" s="619"/>
      <c r="G6" s="619"/>
      <c r="H6" s="619"/>
      <c r="I6" s="619"/>
      <c r="J6" s="619"/>
      <c r="K6" s="619"/>
      <c r="L6" s="619"/>
      <c r="M6" s="619"/>
      <c r="N6" s="619"/>
      <c r="O6" s="619"/>
      <c r="P6" s="619"/>
      <c r="Q6" s="118"/>
      <c r="S6" s="510" t="s">
        <v>70</v>
      </c>
      <c r="T6" s="511"/>
      <c r="U6" s="510"/>
      <c r="V6" s="510" t="s">
        <v>71</v>
      </c>
      <c r="W6" s="512">
        <v>0.05</v>
      </c>
      <c r="X6" s="510"/>
      <c r="Y6" s="510"/>
      <c r="Z6" s="510"/>
      <c r="AA6" s="510"/>
      <c r="AE6" s="600" t="s">
        <v>88</v>
      </c>
      <c r="AF6" s="602">
        <f>O34</f>
        <v>0</v>
      </c>
    </row>
    <row r="7" spans="2:32" ht="12">
      <c r="B7" s="117"/>
      <c r="C7" s="43"/>
      <c r="D7" s="46"/>
      <c r="E7" s="46"/>
      <c r="F7" s="43"/>
      <c r="G7" s="43"/>
      <c r="H7" s="43"/>
      <c r="I7" s="43"/>
      <c r="J7" s="44"/>
      <c r="K7" s="39"/>
      <c r="L7" s="39"/>
      <c r="M7" s="39"/>
      <c r="N7" s="39"/>
      <c r="O7" s="39"/>
      <c r="P7" s="39"/>
      <c r="Q7" s="118"/>
      <c r="S7" s="510" t="s">
        <v>72</v>
      </c>
      <c r="T7" s="511"/>
      <c r="U7" s="510"/>
      <c r="V7" s="513" t="s">
        <v>33</v>
      </c>
      <c r="W7" s="514">
        <v>1</v>
      </c>
      <c r="X7" s="514">
        <v>2</v>
      </c>
      <c r="Y7" s="514">
        <v>3</v>
      </c>
      <c r="Z7" s="514">
        <v>4</v>
      </c>
      <c r="AA7" s="514">
        <v>5</v>
      </c>
      <c r="AE7" s="600"/>
      <c r="AF7" s="600"/>
    </row>
    <row r="8" spans="2:32" ht="13.5" thickBot="1">
      <c r="B8" s="119"/>
      <c r="C8" s="272">
        <f ca="1">TODAY()</f>
        <v>44743</v>
      </c>
      <c r="D8" s="120"/>
      <c r="E8" s="120"/>
      <c r="F8" s="120"/>
      <c r="G8" s="120"/>
      <c r="H8" s="120"/>
      <c r="I8" s="120"/>
      <c r="J8" s="121"/>
      <c r="K8" s="121"/>
      <c r="L8" s="121"/>
      <c r="M8" s="121"/>
      <c r="N8" s="121"/>
      <c r="O8" s="121"/>
      <c r="P8" s="121"/>
      <c r="Q8" s="122"/>
      <c r="S8" s="510" t="s">
        <v>73</v>
      </c>
      <c r="T8" s="515">
        <f>D37+D43</f>
        <v>0</v>
      </c>
      <c r="U8" s="510"/>
      <c r="V8" s="510" t="s">
        <v>6</v>
      </c>
      <c r="W8" s="516">
        <f>$T$8</f>
        <v>0</v>
      </c>
      <c r="X8" s="516">
        <f>W12</f>
        <v>0</v>
      </c>
      <c r="Y8" s="516">
        <f>X12</f>
        <v>0</v>
      </c>
      <c r="Z8" s="516">
        <f>Y12</f>
        <v>0</v>
      </c>
      <c r="AA8" s="516">
        <f>Z12</f>
        <v>0</v>
      </c>
      <c r="AE8" s="601" t="s">
        <v>339</v>
      </c>
      <c r="AF8" s="601">
        <f>AF4*AF17</f>
        <v>0</v>
      </c>
    </row>
    <row r="9" spans="2:32" ht="12.75" thickBot="1">
      <c r="B9" s="114"/>
      <c r="C9" s="114"/>
      <c r="D9" s="114"/>
      <c r="E9" s="114"/>
      <c r="F9" s="114"/>
      <c r="G9" s="114"/>
      <c r="H9" s="114"/>
      <c r="I9" s="114"/>
      <c r="J9" s="115"/>
      <c r="K9" s="115"/>
      <c r="L9" s="115"/>
      <c r="M9" s="115"/>
      <c r="N9" s="115"/>
      <c r="O9" s="115"/>
      <c r="P9" s="115"/>
      <c r="Q9" s="115"/>
      <c r="S9" s="510"/>
      <c r="T9" s="510"/>
      <c r="U9" s="510"/>
      <c r="V9" s="510" t="s">
        <v>74</v>
      </c>
      <c r="W9" s="517">
        <f>W6</f>
        <v>0.05</v>
      </c>
      <c r="X9" s="517">
        <f>W9</f>
        <v>0.05</v>
      </c>
      <c r="Y9" s="517">
        <f>X9</f>
        <v>0.05</v>
      </c>
      <c r="Z9" s="517">
        <f>Y9</f>
        <v>0.05</v>
      </c>
      <c r="AA9" s="517">
        <f>Z9</f>
        <v>0.05</v>
      </c>
      <c r="AE9" s="601"/>
      <c r="AF9" s="600"/>
    </row>
    <row r="10" spans="2:32" ht="12">
      <c r="B10" s="113"/>
      <c r="C10" s="190"/>
      <c r="D10" s="190"/>
      <c r="E10" s="190"/>
      <c r="F10" s="190"/>
      <c r="G10" s="190"/>
      <c r="H10" s="190"/>
      <c r="I10" s="191"/>
      <c r="J10" s="191"/>
      <c r="K10" s="191"/>
      <c r="L10" s="191"/>
      <c r="M10" s="191"/>
      <c r="N10" s="191"/>
      <c r="O10" s="191"/>
      <c r="P10" s="115"/>
      <c r="Q10" s="116"/>
      <c r="S10" s="510"/>
      <c r="T10" s="510"/>
      <c r="U10" s="510"/>
      <c r="V10" s="510" t="s">
        <v>39</v>
      </c>
      <c r="W10" s="516">
        <f>W8*$W$6</f>
        <v>0</v>
      </c>
      <c r="X10" s="516">
        <f>X8*$W$6</f>
        <v>0</v>
      </c>
      <c r="Y10" s="516">
        <f>Y8*$W$6</f>
        <v>0</v>
      </c>
      <c r="Z10" s="516">
        <f>Z8*$W$6</f>
        <v>0</v>
      </c>
      <c r="AA10" s="516">
        <f>AA8*$W$6</f>
        <v>0</v>
      </c>
      <c r="AE10" s="601"/>
      <c r="AF10" s="603"/>
    </row>
    <row r="11" spans="2:32" ht="12.75">
      <c r="B11" s="117"/>
      <c r="C11" s="192" t="s">
        <v>103</v>
      </c>
      <c r="D11" s="192"/>
      <c r="E11" s="192"/>
      <c r="F11" s="193"/>
      <c r="G11" s="192" t="s">
        <v>131</v>
      </c>
      <c r="H11" s="192"/>
      <c r="I11" s="192"/>
      <c r="J11" s="193"/>
      <c r="K11" s="192" t="s">
        <v>130</v>
      </c>
      <c r="L11" s="467"/>
      <c r="M11" s="192"/>
      <c r="N11" s="194"/>
      <c r="O11" s="194"/>
      <c r="P11" s="40"/>
      <c r="Q11" s="118"/>
      <c r="S11" s="510"/>
      <c r="T11" s="510"/>
      <c r="U11" s="510"/>
      <c r="V11" s="510" t="s">
        <v>75</v>
      </c>
      <c r="W11" s="518">
        <f>(W8+W10)/5</f>
        <v>0</v>
      </c>
      <c r="X11" s="518">
        <f>(X8+X10)/4</f>
        <v>0</v>
      </c>
      <c r="Y11" s="518">
        <f>(Y8+Y10)/3</f>
        <v>0</v>
      </c>
      <c r="Z11" s="518">
        <f>(Z8+Z10)/2</f>
        <v>0</v>
      </c>
      <c r="AA11" s="518">
        <f>(AA8+AA10)/1</f>
        <v>0</v>
      </c>
      <c r="AE11" s="600" t="s">
        <v>330</v>
      </c>
      <c r="AF11" s="604">
        <f>_xlfn.IFERROR((D38+D44),0)</f>
        <v>0</v>
      </c>
    </row>
    <row r="12" spans="2:32" ht="12">
      <c r="B12" s="117"/>
      <c r="C12" s="620"/>
      <c r="D12" s="620"/>
      <c r="E12" s="620"/>
      <c r="F12" s="620"/>
      <c r="G12" s="51"/>
      <c r="H12" s="195"/>
      <c r="I12" s="51"/>
      <c r="J12" s="51"/>
      <c r="K12" s="620"/>
      <c r="L12" s="620"/>
      <c r="M12" s="620"/>
      <c r="N12" s="620"/>
      <c r="O12" s="196"/>
      <c r="P12" s="39"/>
      <c r="Q12" s="118"/>
      <c r="S12" s="510"/>
      <c r="T12" s="510"/>
      <c r="U12" s="510"/>
      <c r="V12" s="510" t="s">
        <v>10</v>
      </c>
      <c r="W12" s="516">
        <f>W8+W10-W11</f>
        <v>0</v>
      </c>
      <c r="X12" s="516">
        <f>X8+X10-X11</f>
        <v>0</v>
      </c>
      <c r="Y12" s="516">
        <f>Y8+Y10-Y11</f>
        <v>0</v>
      </c>
      <c r="Z12" s="516">
        <f>Z8+Z10-Z11</f>
        <v>0</v>
      </c>
      <c r="AA12" s="516">
        <f>AA8+AA10-AA11</f>
        <v>0</v>
      </c>
      <c r="AE12" s="600" t="s">
        <v>72</v>
      </c>
      <c r="AF12" s="604">
        <f>D36+D42</f>
        <v>0</v>
      </c>
    </row>
    <row r="13" spans="2:32" ht="12.75">
      <c r="B13" s="117"/>
      <c r="C13" s="192" t="s">
        <v>104</v>
      </c>
      <c r="D13" s="192"/>
      <c r="E13" s="192"/>
      <c r="F13" s="195"/>
      <c r="G13" s="195"/>
      <c r="H13" s="195"/>
      <c r="I13" s="197"/>
      <c r="J13" s="198"/>
      <c r="K13" s="192" t="s">
        <v>104</v>
      </c>
      <c r="L13" s="192"/>
      <c r="M13" s="192"/>
      <c r="N13" s="194"/>
      <c r="O13" s="194"/>
      <c r="P13" s="40"/>
      <c r="Q13" s="118"/>
      <c r="S13" s="510"/>
      <c r="T13" s="510"/>
      <c r="U13" s="510"/>
      <c r="V13" s="509" t="s">
        <v>76</v>
      </c>
      <c r="W13" s="518"/>
      <c r="X13" s="518"/>
      <c r="Y13" s="518"/>
      <c r="Z13" s="518"/>
      <c r="AA13" s="518"/>
      <c r="AE13" s="605" t="s">
        <v>331</v>
      </c>
      <c r="AF13" s="606">
        <f>+AF11+AF12</f>
        <v>0</v>
      </c>
    </row>
    <row r="14" spans="2:32" ht="13.5" thickBot="1">
      <c r="B14" s="119"/>
      <c r="C14" s="123"/>
      <c r="D14" s="123"/>
      <c r="E14" s="123"/>
      <c r="F14" s="120"/>
      <c r="G14" s="124"/>
      <c r="H14" s="124"/>
      <c r="I14" s="123"/>
      <c r="J14" s="123"/>
      <c r="K14" s="121"/>
      <c r="L14" s="125"/>
      <c r="M14" s="125"/>
      <c r="N14" s="121"/>
      <c r="O14" s="121"/>
      <c r="P14" s="125"/>
      <c r="Q14" s="122"/>
      <c r="S14" s="510"/>
      <c r="T14" s="510"/>
      <c r="U14" s="510"/>
      <c r="V14" s="510" t="s">
        <v>77</v>
      </c>
      <c r="W14" s="519">
        <f>1/(1+$T$20)^1</f>
        <v>0.9070294784580498</v>
      </c>
      <c r="X14" s="519">
        <f>1/(1+$T$20)^2</f>
        <v>0.822702474791882</v>
      </c>
      <c r="Y14" s="519">
        <f>1/(1+$T$20)^3</f>
        <v>0.7462153966366276</v>
      </c>
      <c r="Z14" s="519">
        <f>1/(1+$T$20)^4</f>
        <v>0.6768393620286872</v>
      </c>
      <c r="AA14" s="519">
        <f>1/(1+$T$20)^5</f>
        <v>0.6139132535407593</v>
      </c>
      <c r="AE14" s="600"/>
      <c r="AF14" s="600"/>
    </row>
    <row r="15" spans="2:32" ht="12.75" thickBot="1">
      <c r="B15" s="43"/>
      <c r="C15" s="620"/>
      <c r="D15" s="620"/>
      <c r="E15" s="620"/>
      <c r="F15" s="620"/>
      <c r="G15" s="51"/>
      <c r="H15" s="51"/>
      <c r="I15" s="51"/>
      <c r="J15" s="51"/>
      <c r="K15" s="51"/>
      <c r="L15" s="51"/>
      <c r="M15" s="51"/>
      <c r="N15" s="39"/>
      <c r="O15" s="39"/>
      <c r="P15" s="39"/>
      <c r="Q15" s="39"/>
      <c r="S15" s="510"/>
      <c r="T15" s="510"/>
      <c r="U15" s="510"/>
      <c r="V15" s="510" t="s">
        <v>78</v>
      </c>
      <c r="W15" s="516">
        <f>W11*W14</f>
        <v>0</v>
      </c>
      <c r="X15" s="516">
        <f>X11*X14</f>
        <v>0</v>
      </c>
      <c r="Y15" s="516">
        <f>Y11*Y14</f>
        <v>0</v>
      </c>
      <c r="Z15" s="516">
        <f>Z11*Z14</f>
        <v>0</v>
      </c>
      <c r="AA15" s="516">
        <f>AA11*AA14</f>
        <v>0</v>
      </c>
      <c r="AE15" s="600"/>
      <c r="AF15" s="600"/>
    </row>
    <row r="16" spans="2:32" ht="12">
      <c r="B16" s="113"/>
      <c r="C16" s="114"/>
      <c r="D16" s="114"/>
      <c r="E16" s="114"/>
      <c r="F16" s="114"/>
      <c r="G16" s="114"/>
      <c r="H16" s="114"/>
      <c r="I16" s="114"/>
      <c r="J16" s="115"/>
      <c r="K16" s="115"/>
      <c r="L16" s="115"/>
      <c r="M16" s="115"/>
      <c r="N16" s="115"/>
      <c r="O16" s="115"/>
      <c r="P16" s="115"/>
      <c r="Q16" s="116"/>
      <c r="S16" s="510"/>
      <c r="T16" s="510"/>
      <c r="U16" s="510"/>
      <c r="V16" s="509" t="s">
        <v>36</v>
      </c>
      <c r="W16" s="520">
        <f>SUM(W15:AA15)</f>
        <v>0</v>
      </c>
      <c r="X16" s="518"/>
      <c r="Y16" s="518"/>
      <c r="Z16" s="518"/>
      <c r="AA16" s="518"/>
      <c r="AE16" s="601" t="s">
        <v>89</v>
      </c>
      <c r="AF16" s="607">
        <f>_xlfn.IFERROR((AF11+AF12)/AF4,0)</f>
        <v>0</v>
      </c>
    </row>
    <row r="17" spans="2:32" ht="15" customHeight="1">
      <c r="B17" s="117"/>
      <c r="C17" s="126" t="s">
        <v>13</v>
      </c>
      <c r="D17" s="31"/>
      <c r="E17" s="31"/>
      <c r="F17" s="43"/>
      <c r="G17" s="66" t="s">
        <v>57</v>
      </c>
      <c r="H17" s="67"/>
      <c r="I17" s="67"/>
      <c r="J17" s="68"/>
      <c r="K17" s="68"/>
      <c r="L17" s="68"/>
      <c r="M17" s="68"/>
      <c r="N17" s="68"/>
      <c r="O17" s="68"/>
      <c r="P17" s="69"/>
      <c r="Q17" s="118"/>
      <c r="S17" s="634" t="s">
        <v>79</v>
      </c>
      <c r="T17" s="634"/>
      <c r="U17" s="634"/>
      <c r="V17" s="634"/>
      <c r="W17" s="634"/>
      <c r="X17" s="634"/>
      <c r="Y17" s="634"/>
      <c r="Z17" s="634"/>
      <c r="AA17" s="634"/>
      <c r="AE17" s="601" t="s">
        <v>90</v>
      </c>
      <c r="AF17" s="607">
        <f>X35</f>
        <v>0.75</v>
      </c>
    </row>
    <row r="18" spans="2:32" ht="15" customHeight="1">
      <c r="B18" s="117"/>
      <c r="D18" s="32"/>
      <c r="E18" s="32"/>
      <c r="F18" s="43"/>
      <c r="G18" s="87" t="s">
        <v>97</v>
      </c>
      <c r="H18" s="43"/>
      <c r="I18" s="621" t="str">
        <f>VLOOKUP($U$39,$S$33:$T$38,2,0)</f>
        <v>Adquisición Tradicional</v>
      </c>
      <c r="J18" s="621"/>
      <c r="K18" s="621"/>
      <c r="L18" s="621"/>
      <c r="M18" s="39"/>
      <c r="N18" s="39"/>
      <c r="O18" s="39"/>
      <c r="P18" s="71"/>
      <c r="Q18" s="118"/>
      <c r="S18" s="509" t="s">
        <v>80</v>
      </c>
      <c r="T18" s="510"/>
      <c r="U18" s="510"/>
      <c r="V18" s="509" t="s">
        <v>81</v>
      </c>
      <c r="W18" s="510"/>
      <c r="X18" s="510"/>
      <c r="Y18" s="510"/>
      <c r="Z18" s="510"/>
      <c r="AA18" s="510"/>
      <c r="AE18" s="601" t="s">
        <v>91</v>
      </c>
      <c r="AF18" s="600">
        <f>AF17*AF4</f>
        <v>0</v>
      </c>
    </row>
    <row r="19" spans="2:32" ht="15" customHeight="1">
      <c r="B19" s="117"/>
      <c r="C19" s="127" t="s">
        <v>54</v>
      </c>
      <c r="D19" s="33"/>
      <c r="E19" s="33"/>
      <c r="F19" s="43"/>
      <c r="G19" s="78" t="s">
        <v>58</v>
      </c>
      <c r="H19" s="396" t="str">
        <f>_xlfn.IFERROR(VLOOKUP(U62,S63:T66,2,0),"")</f>
        <v>7x5</v>
      </c>
      <c r="I19" s="86"/>
      <c r="J19" s="39"/>
      <c r="K19" s="39"/>
      <c r="L19" s="64" t="s">
        <v>59</v>
      </c>
      <c r="M19" s="39"/>
      <c r="N19" s="39"/>
      <c r="O19" s="39"/>
      <c r="P19" s="71"/>
      <c r="Q19" s="118"/>
      <c r="S19" s="510"/>
      <c r="T19" s="510"/>
      <c r="U19" s="510"/>
      <c r="V19" s="510" t="s">
        <v>82</v>
      </c>
      <c r="W19" s="521">
        <f>T20</f>
        <v>0.1025</v>
      </c>
      <c r="X19" s="510"/>
      <c r="Y19" s="510"/>
      <c r="Z19" s="510"/>
      <c r="AA19" s="510"/>
      <c r="AE19" s="601" t="s">
        <v>92</v>
      </c>
      <c r="AF19" s="608">
        <f>IF(AF17+AF16&gt;100%,AF17+AF16-100%,0%)</f>
        <v>0</v>
      </c>
    </row>
    <row r="20" spans="2:32" ht="15" customHeight="1" thickBot="1">
      <c r="B20" s="117"/>
      <c r="C20" s="43"/>
      <c r="D20" s="43"/>
      <c r="E20" s="43"/>
      <c r="F20" s="43"/>
      <c r="G20" s="78" t="s">
        <v>5</v>
      </c>
      <c r="H20" s="82" t="str">
        <f>_xlfn.IFERROR(VLOOKUP(U62,S63:U66,3,0),"")</f>
        <v>5 años</v>
      </c>
      <c r="I20" s="43"/>
      <c r="J20" s="39"/>
      <c r="K20" s="39"/>
      <c r="L20" s="39"/>
      <c r="M20" s="595">
        <f>IF(O24=0,0,IF(O25="",I25/O24,O25/O24))</f>
        <v>0</v>
      </c>
      <c r="N20" s="39">
        <f>IF(M20&gt;65%,"Aplica solo para IR 1 y 2","")</f>
      </c>
      <c r="O20" s="39"/>
      <c r="P20" s="71"/>
      <c r="Q20" s="118"/>
      <c r="S20" s="510" t="s">
        <v>83</v>
      </c>
      <c r="T20" s="522">
        <v>0.1025</v>
      </c>
      <c r="U20" s="510"/>
      <c r="V20" s="513" t="s">
        <v>33</v>
      </c>
      <c r="W20" s="514">
        <v>1</v>
      </c>
      <c r="X20" s="514">
        <v>2</v>
      </c>
      <c r="Y20" s="514">
        <v>3</v>
      </c>
      <c r="Z20" s="514">
        <v>4</v>
      </c>
      <c r="AA20" s="514">
        <v>5</v>
      </c>
      <c r="AE20" s="609" t="s">
        <v>332</v>
      </c>
      <c r="AF20" s="606">
        <f>AF18-(AF19*AF4)</f>
        <v>0</v>
      </c>
    </row>
    <row r="21" spans="2:32" ht="15" customHeight="1" thickBot="1">
      <c r="B21" s="117"/>
      <c r="C21" s="127" t="str">
        <f>IF(Y41=1,"Valor de la vivienda",IF(Y41=2,"Ingresos Mensuales","Monto de Crédito"))</f>
        <v>Valor de la vivienda</v>
      </c>
      <c r="D21" s="278"/>
      <c r="E21" s="183"/>
      <c r="F21" s="43"/>
      <c r="G21" s="73"/>
      <c r="H21" s="39"/>
      <c r="I21" s="39"/>
      <c r="J21" s="165"/>
      <c r="K21" s="39"/>
      <c r="L21" s="39"/>
      <c r="M21" s="39"/>
      <c r="N21" s="39"/>
      <c r="O21" s="39"/>
      <c r="P21" s="71"/>
      <c r="Q21" s="118"/>
      <c r="S21" s="510" t="s">
        <v>84</v>
      </c>
      <c r="T21" s="523">
        <f>NPV(T20,W11:AA11)</f>
        <v>0</v>
      </c>
      <c r="U21" s="510"/>
      <c r="V21" s="510" t="s">
        <v>6</v>
      </c>
      <c r="W21" s="516">
        <f>T21</f>
        <v>0</v>
      </c>
      <c r="X21" s="516">
        <f>W26</f>
        <v>0</v>
      </c>
      <c r="Y21" s="516">
        <f>X26</f>
        <v>0</v>
      </c>
      <c r="Z21" s="516">
        <f>Y26</f>
        <v>0</v>
      </c>
      <c r="AA21" s="516">
        <f>Z26</f>
        <v>0</v>
      </c>
      <c r="AE21" s="600"/>
      <c r="AF21" s="600"/>
    </row>
    <row r="22" spans="2:27" ht="15" customHeight="1">
      <c r="B22" s="117"/>
      <c r="C22" s="127" t="s">
        <v>178</v>
      </c>
      <c r="D22" s="65"/>
      <c r="E22" s="183"/>
      <c r="F22" s="43"/>
      <c r="G22" s="73"/>
      <c r="H22" s="39"/>
      <c r="I22" s="39"/>
      <c r="J22" s="165"/>
      <c r="K22" s="39"/>
      <c r="L22" s="39"/>
      <c r="M22" s="39"/>
      <c r="N22" s="39"/>
      <c r="O22" s="39"/>
      <c r="P22" s="71"/>
      <c r="Q22" s="118"/>
      <c r="S22" s="510"/>
      <c r="T22" s="510"/>
      <c r="U22" s="506"/>
      <c r="V22" s="510" t="s">
        <v>74</v>
      </c>
      <c r="W22" s="521">
        <f>W19</f>
        <v>0.1025</v>
      </c>
      <c r="X22" s="521">
        <f>W22</f>
        <v>0.1025</v>
      </c>
      <c r="Y22" s="521">
        <f>X22</f>
        <v>0.1025</v>
      </c>
      <c r="Z22" s="521">
        <f>Y22</f>
        <v>0.1025</v>
      </c>
      <c r="AA22" s="521">
        <f>Z22</f>
        <v>0.1025</v>
      </c>
    </row>
    <row r="23" spans="2:27" ht="15" customHeight="1">
      <c r="B23" s="117"/>
      <c r="C23" s="151">
        <f>IF(D21=0,"",IF(AND($Y$41=1,D21&lt;$AB$39),AD41,IF(D21&lt;$Y$39,AD42,"")))</f>
      </c>
      <c r="D23" s="187"/>
      <c r="F23" s="43"/>
      <c r="G23" s="72"/>
      <c r="H23" s="60" t="s">
        <v>60</v>
      </c>
      <c r="I23" s="85"/>
      <c r="J23" s="39"/>
      <c r="K23" s="39"/>
      <c r="L23" s="60" t="s">
        <v>61</v>
      </c>
      <c r="M23" s="39"/>
      <c r="N23" s="39"/>
      <c r="O23" s="39"/>
      <c r="P23" s="39"/>
      <c r="Q23" s="181"/>
      <c r="S23" s="510"/>
      <c r="T23" s="524">
        <f>IF(T8=0,0,T21/T8)</f>
        <v>0</v>
      </c>
      <c r="U23" s="525"/>
      <c r="V23" s="510" t="s">
        <v>85</v>
      </c>
      <c r="W23" s="516">
        <f>W11</f>
        <v>0</v>
      </c>
      <c r="X23" s="516">
        <f>X11</f>
        <v>0</v>
      </c>
      <c r="Y23" s="516">
        <f>Y11</f>
        <v>0</v>
      </c>
      <c r="Z23" s="516">
        <f>Z11</f>
        <v>0</v>
      </c>
      <c r="AA23" s="516">
        <f>AA11</f>
        <v>0</v>
      </c>
    </row>
    <row r="24" spans="2:27" ht="15" customHeight="1" thickBot="1">
      <c r="B24" s="117"/>
      <c r="C24" s="64">
        <f>IF(OR(U39=2,U39=5),"Sueldo cotización (Apoyo Infonavit)","")</f>
      </c>
      <c r="D24" s="65"/>
      <c r="E24" s="183"/>
      <c r="F24" s="43"/>
      <c r="G24" s="70" t="s">
        <v>132</v>
      </c>
      <c r="I24" s="85">
        <f>AD39</f>
        <v>0</v>
      </c>
      <c r="K24" s="79" t="s">
        <v>62</v>
      </c>
      <c r="O24" s="88">
        <f>AA88</f>
        <v>0</v>
      </c>
      <c r="Q24" s="181"/>
      <c r="R24" s="104"/>
      <c r="S24" s="510"/>
      <c r="T24" s="526" t="s">
        <v>86</v>
      </c>
      <c r="U24" s="506"/>
      <c r="V24" s="527" t="s">
        <v>39</v>
      </c>
      <c r="W24" s="516">
        <f>W21*W22</f>
        <v>0</v>
      </c>
      <c r="X24" s="516">
        <f>X21*X22</f>
        <v>0</v>
      </c>
      <c r="Y24" s="516">
        <f>Y21*Y22</f>
        <v>0</v>
      </c>
      <c r="Z24" s="516">
        <f>Z21*Z22</f>
        <v>0</v>
      </c>
      <c r="AA24" s="516">
        <f>AA21*AA22</f>
        <v>0</v>
      </c>
    </row>
    <row r="25" spans="2:27" ht="16.5" customHeight="1" thickBot="1">
      <c r="B25" s="117"/>
      <c r="C25" s="275" t="s">
        <v>250</v>
      </c>
      <c r="D25" s="43"/>
      <c r="E25" s="43"/>
      <c r="F25" s="43"/>
      <c r="G25" s="172" t="s">
        <v>125</v>
      </c>
      <c r="H25" s="128"/>
      <c r="I25" s="150">
        <f>I24</f>
        <v>0</v>
      </c>
      <c r="J25" s="182"/>
      <c r="K25" s="622">
        <f>IF(OR(I28="NO",I29=0),"",IF(AND(I28="SI",OR(U39=4,U39=5)),"Monto Máximo Pago de Pasivo + Gastos Financiados",""))</f>
      </c>
      <c r="L25" s="622"/>
      <c r="M25" s="622"/>
      <c r="N25" s="622"/>
      <c r="O25" s="596">
        <f>_xlfn.IFERROR(IF(I29&gt;0,I25+I29,""),"")</f>
      </c>
      <c r="P25" s="39"/>
      <c r="Q25" s="181"/>
      <c r="R25" s="4"/>
      <c r="S25" s="510"/>
      <c r="T25" s="506"/>
      <c r="U25" s="506"/>
      <c r="V25" s="527" t="s">
        <v>9</v>
      </c>
      <c r="W25" s="516">
        <f>W21-W26</f>
        <v>0</v>
      </c>
      <c r="X25" s="516">
        <f>X21-X26</f>
        <v>0</v>
      </c>
      <c r="Y25" s="516">
        <f>Y21-Y26</f>
        <v>0</v>
      </c>
      <c r="Z25" s="516">
        <f>Z21-Z26</f>
        <v>0</v>
      </c>
      <c r="AA25" s="516">
        <f>AA21-AA26</f>
        <v>0</v>
      </c>
    </row>
    <row r="26" spans="2:27" ht="15" customHeight="1">
      <c r="B26" s="117"/>
      <c r="C26" s="2">
        <f>IF(U62&gt;=2,"Ingrese la TIIE si está en periodo de revisión:","")</f>
      </c>
      <c r="D26" s="405"/>
      <c r="E26" s="43"/>
      <c r="F26" s="43"/>
      <c r="G26" s="625">
        <f>IF(I25=0,"",IF(I25&gt;I24,$AD$43,IF(I25&lt;Z39,"Crédito debajo del mínimo","")))</f>
      </c>
      <c r="H26" s="626"/>
      <c r="I26" s="88">
        <f>IF(I25=0,"",IF($I$25&lt;$Z$39,$Z$39,""))</f>
      </c>
      <c r="K26" s="39">
        <f>IF($U$39=3,"Infonavit gastos de originación","")</f>
      </c>
      <c r="L26" s="39"/>
      <c r="M26" s="39"/>
      <c r="N26" s="83">
        <f>IF($U$39=3,5%,"")</f>
      </c>
      <c r="O26" s="88">
        <f>IF($U$39=3,I31*$AG$61,"")</f>
      </c>
      <c r="Q26" s="181"/>
      <c r="R26" s="168"/>
      <c r="S26" s="510"/>
      <c r="T26" s="510"/>
      <c r="U26" s="510"/>
      <c r="V26" s="510" t="s">
        <v>10</v>
      </c>
      <c r="W26" s="516">
        <f>W21+W24-W23</f>
        <v>0</v>
      </c>
      <c r="X26" s="516">
        <f>X21+X24-X23</f>
        <v>0</v>
      </c>
      <c r="Y26" s="516">
        <f>Y21+Y24-Y23</f>
        <v>0</v>
      </c>
      <c r="Z26" s="516">
        <f>Z21+Z24-Z23</f>
        <v>0</v>
      </c>
      <c r="AA26" s="516">
        <f>AA21+AA24-AA23</f>
        <v>0</v>
      </c>
    </row>
    <row r="27" spans="2:27" ht="15" customHeight="1">
      <c r="B27" s="117"/>
      <c r="C27" s="360"/>
      <c r="D27" s="405"/>
      <c r="E27" s="43"/>
      <c r="F27" s="43"/>
      <c r="G27" s="299"/>
      <c r="H27" s="300"/>
      <c r="I27" s="88"/>
      <c r="K27" s="39"/>
      <c r="L27" s="39"/>
      <c r="M27" s="39"/>
      <c r="N27" s="83"/>
      <c r="O27" s="88"/>
      <c r="Q27" s="181"/>
      <c r="R27" s="168"/>
      <c r="S27" s="510"/>
      <c r="T27" s="510"/>
      <c r="U27" s="510"/>
      <c r="V27" s="510"/>
      <c r="W27" s="516"/>
      <c r="X27" s="516"/>
      <c r="Y27" s="516"/>
      <c r="Z27" s="516"/>
      <c r="AA27" s="516"/>
    </row>
    <row r="28" spans="2:27" ht="15" customHeight="1">
      <c r="B28" s="117"/>
      <c r="C28" s="361"/>
      <c r="D28" s="405"/>
      <c r="E28" s="43"/>
      <c r="F28" s="43"/>
      <c r="G28" s="635">
        <f>+IF(OR(U39=4,U39=5),"Gastos Notariales Financiados","")</f>
      </c>
      <c r="H28" s="636"/>
      <c r="I28" s="597" t="s">
        <v>327</v>
      </c>
      <c r="J28" s="85"/>
      <c r="K28" s="39" t="str">
        <f>IF($U$39=3,"Infonavit impuestos y derechos","Impuestos y derechos")</f>
        <v>Impuestos y derechos</v>
      </c>
      <c r="L28" s="39"/>
      <c r="M28" s="199"/>
      <c r="N28" s="200">
        <f>_xlfn.IFERROR(IF(M28="",O28/O$24,""),0)</f>
        <v>0</v>
      </c>
      <c r="O28" s="110">
        <f>_xlfn.IFERROR(IF(AND(OR($U$39=3),L47&gt;0),L47-O26,IF(M28="",O24*$AG$62,O24*M28)),0)</f>
        <v>0</v>
      </c>
      <c r="P28" s="39"/>
      <c r="Q28" s="181"/>
      <c r="R28" s="168"/>
      <c r="S28" s="528"/>
      <c r="T28" s="528"/>
      <c r="U28" s="528"/>
      <c r="V28" s="528"/>
      <c r="W28" s="528"/>
      <c r="X28" s="528"/>
      <c r="Y28" s="528"/>
      <c r="Z28" s="528"/>
      <c r="AA28" s="528"/>
    </row>
    <row r="29" spans="2:21" ht="15" customHeight="1">
      <c r="B29" s="117"/>
      <c r="E29" s="45"/>
      <c r="F29" s="43"/>
      <c r="G29" s="635">
        <f>+IF(OR(U39=4,U39=5),"Monto Máximo Financiado","")</f>
      </c>
      <c r="H29" s="636"/>
      <c r="I29" s="185">
        <f>+IF(AND(U39&lt;&gt;4,U39&lt;&gt;5),"",IF(I28="NO",0,IF(G26&lt;&gt;"",0,IF(AND(,Y41=1,O24*X39=I25),0,IF(AND(Y41=1,I25*6%+I25&gt;I24),I24-I25,I25*6%)))))</f>
      </c>
      <c r="J29" s="85"/>
      <c r="K29" s="39" t="s">
        <v>124</v>
      </c>
      <c r="L29" s="39"/>
      <c r="M29" s="199"/>
      <c r="N29" s="200">
        <f>_xlfn.IFERROR(IF(M29="",O29/O$24,""),0)</f>
        <v>0</v>
      </c>
      <c r="O29" s="110">
        <f>_xlfn.IFERROR(IF(M29="",O24*$AG$63,O24*M29),0)</f>
        <v>0</v>
      </c>
      <c r="P29" s="71"/>
      <c r="Q29" s="118"/>
      <c r="R29" s="166"/>
      <c r="T29" s="159" t="s">
        <v>222</v>
      </c>
      <c r="U29" s="160"/>
    </row>
    <row r="30" spans="2:21" ht="15" customHeight="1">
      <c r="B30" s="117"/>
      <c r="C30" s="127" t="s">
        <v>224</v>
      </c>
      <c r="D30" s="312">
        <f>+V67</f>
        <v>0</v>
      </c>
      <c r="E30" s="45"/>
      <c r="F30" s="43"/>
      <c r="G30" s="70">
        <f>IF(U39&lt;&gt;3,"","Subcuenta vivienda")</f>
      </c>
      <c r="H30" s="128"/>
      <c r="I30" s="85">
        <f>IF(U39=3,D36+D42,"")</f>
      </c>
      <c r="J30" s="39"/>
      <c r="K30" s="39"/>
      <c r="L30" s="39"/>
      <c r="M30" s="39"/>
      <c r="N30" s="39"/>
      <c r="O30" s="88"/>
      <c r="P30" s="71"/>
      <c r="Q30" s="132"/>
      <c r="R30" s="37"/>
      <c r="T30" s="273" t="s">
        <v>220</v>
      </c>
      <c r="U30" s="279">
        <v>2</v>
      </c>
    </row>
    <row r="31" spans="2:21" ht="22.5" customHeight="1">
      <c r="B31" s="117"/>
      <c r="C31" s="127" t="s">
        <v>99</v>
      </c>
      <c r="D31" s="161"/>
      <c r="E31" s="128"/>
      <c r="F31" s="43"/>
      <c r="G31" s="70">
        <f>IF(U39=3,"Crédito Infonavit","")</f>
      </c>
      <c r="H31" s="47"/>
      <c r="I31" s="88">
        <f>IF($U$39=3,D38+D44,"")</f>
      </c>
      <c r="J31" s="85"/>
      <c r="K31" s="39"/>
      <c r="L31" s="39" t="s">
        <v>65</v>
      </c>
      <c r="M31" s="464">
        <f>IF(O24&gt;$T$113,"'Favor de Cotizar'. Val. apróx.","")</f>
      </c>
      <c r="N31" s="39"/>
      <c r="O31" s="88">
        <f>_xlfn.IFERROR(IF(OR(U39=4,U39=5),0,VLOOKUP(O24,$S$93:$U$114,3)),0)</f>
        <v>0</v>
      </c>
      <c r="P31" s="71"/>
      <c r="Q31" s="133"/>
      <c r="R31" s="167"/>
      <c r="T31" s="273" t="s">
        <v>221</v>
      </c>
      <c r="U31" s="274"/>
    </row>
    <row r="32" spans="2:31" ht="15" customHeight="1">
      <c r="B32" s="117"/>
      <c r="D32" s="43"/>
      <c r="E32" s="43"/>
      <c r="F32" s="43"/>
      <c r="G32" s="152">
        <f>IF(AND(Y41=3,I25&lt;&gt;I24),"El crédito solicitado debe ser igual al máximo","")</f>
      </c>
      <c r="H32" s="39"/>
      <c r="J32" s="85"/>
      <c r="K32" s="39"/>
      <c r="L32" s="39" t="s">
        <v>14</v>
      </c>
      <c r="M32" s="39"/>
      <c r="N32" s="39"/>
      <c r="O32" s="88">
        <f>_xlfn.IFERROR(IF(OR($U$62=1,T41=2),0,I25*V39),0)</f>
        <v>0</v>
      </c>
      <c r="P32" s="71"/>
      <c r="Q32" s="133"/>
      <c r="R32" s="167"/>
      <c r="S32" s="234"/>
      <c r="T32" s="235" t="s">
        <v>139</v>
      </c>
      <c r="U32" s="236"/>
      <c r="V32" s="383" t="s">
        <v>127</v>
      </c>
      <c r="W32" s="383" t="s">
        <v>128</v>
      </c>
      <c r="X32" s="383" t="s">
        <v>32</v>
      </c>
      <c r="Y32" s="384" t="s">
        <v>105</v>
      </c>
      <c r="Z32" s="383" t="s">
        <v>107</v>
      </c>
      <c r="AA32" s="383" t="s">
        <v>108</v>
      </c>
      <c r="AB32" s="383" t="s">
        <v>109</v>
      </c>
      <c r="AC32" s="383" t="s">
        <v>116</v>
      </c>
      <c r="AD32" s="453" t="s">
        <v>129</v>
      </c>
      <c r="AE32" s="85"/>
    </row>
    <row r="33" spans="2:31" ht="15" customHeight="1">
      <c r="B33" s="117"/>
      <c r="C33" s="276" t="s">
        <v>219</v>
      </c>
      <c r="D33" s="43"/>
      <c r="E33" s="43"/>
      <c r="F33" s="43"/>
      <c r="G33" s="152"/>
      <c r="H33" s="43"/>
      <c r="I33" s="43"/>
      <c r="J33" s="85"/>
      <c r="P33" s="71"/>
      <c r="Q33" s="133"/>
      <c r="R33" s="37"/>
      <c r="S33" s="237">
        <v>1</v>
      </c>
      <c r="T33" s="236" t="s">
        <v>51</v>
      </c>
      <c r="U33" s="236"/>
      <c r="V33" s="385">
        <v>0.0125</v>
      </c>
      <c r="W33" s="386">
        <v>0</v>
      </c>
      <c r="X33" s="386">
        <v>0.75</v>
      </c>
      <c r="Y33" s="387">
        <v>10000</v>
      </c>
      <c r="Z33" s="387">
        <v>250000</v>
      </c>
      <c r="AA33" s="387">
        <v>5000000</v>
      </c>
      <c r="AB33" s="387">
        <v>400000</v>
      </c>
      <c r="AC33" s="386">
        <v>0.45</v>
      </c>
      <c r="AD33" s="257">
        <f>IF(OR($Y$41=1,$Y$41=3),W84,W85)</f>
        <v>0</v>
      </c>
      <c r="AE33" s="37" t="s">
        <v>175</v>
      </c>
    </row>
    <row r="34" spans="2:31" ht="15" customHeight="1">
      <c r="B34" s="117"/>
      <c r="C34" s="43" t="s">
        <v>179</v>
      </c>
      <c r="D34" s="271"/>
      <c r="E34" s="43"/>
      <c r="F34" s="43"/>
      <c r="G34" s="162" t="str">
        <f>IF($U$39=3,"Recursos Totales:","Crédito Banco")</f>
        <v>Crédito Banco</v>
      </c>
      <c r="H34" s="25"/>
      <c r="I34" s="178">
        <f>IF(I25&gt;I24,"Crédito solicitado fuera de rango",IF(U39=3,I25+I30+I31,I25))</f>
        <v>0</v>
      </c>
      <c r="J34" s="39"/>
      <c r="K34" s="25"/>
      <c r="L34" s="25" t="s">
        <v>121</v>
      </c>
      <c r="M34" s="39"/>
      <c r="N34" s="39"/>
      <c r="O34" s="188">
        <f>_xlfn.IFERROR(SUM(O27:O32)-I29,SUM(O27:O32))</f>
        <v>0</v>
      </c>
      <c r="P34" s="71"/>
      <c r="Q34" s="133"/>
      <c r="R34" s="37"/>
      <c r="S34" s="237">
        <v>2</v>
      </c>
      <c r="T34" s="236" t="s">
        <v>52</v>
      </c>
      <c r="U34" s="236"/>
      <c r="V34" s="385">
        <v>0.0075</v>
      </c>
      <c r="W34" s="386">
        <v>0</v>
      </c>
      <c r="X34" s="386">
        <v>0.75</v>
      </c>
      <c r="Y34" s="387">
        <v>7500</v>
      </c>
      <c r="Z34" s="387">
        <v>250000</v>
      </c>
      <c r="AA34" s="387">
        <v>5000000</v>
      </c>
      <c r="AB34" s="387">
        <v>400000</v>
      </c>
      <c r="AC34" s="386">
        <v>0.45</v>
      </c>
      <c r="AD34" s="257">
        <f>IF(OR($Y$41=1,$Y$41=3),W84,W85)</f>
        <v>0</v>
      </c>
      <c r="AE34" s="37" t="s">
        <v>175</v>
      </c>
    </row>
    <row r="35" spans="2:31" ht="15" customHeight="1">
      <c r="B35" s="117"/>
      <c r="C35" s="134">
        <f>IF(U39=3,"Cofinanciamientos (datos del titular)","")</f>
      </c>
      <c r="D35" s="270"/>
      <c r="E35" s="43"/>
      <c r="F35" s="43"/>
      <c r="G35" s="184">
        <f>IF($U$39=3,"Crédito SB + Crédito Infonavit + SSV al frente","")</f>
      </c>
      <c r="H35" s="179"/>
      <c r="I35" s="180"/>
      <c r="J35" s="85"/>
      <c r="K35" s="186"/>
      <c r="L35" s="39"/>
      <c r="M35" s="39"/>
      <c r="N35" s="39"/>
      <c r="O35" s="39"/>
      <c r="P35" s="71"/>
      <c r="Q35" s="133"/>
      <c r="R35" s="37"/>
      <c r="S35" s="237">
        <v>3</v>
      </c>
      <c r="T35" s="236" t="s">
        <v>53</v>
      </c>
      <c r="U35" s="238"/>
      <c r="V35" s="385">
        <v>0.0075</v>
      </c>
      <c r="W35" s="386">
        <v>0</v>
      </c>
      <c r="X35" s="386">
        <v>0.75</v>
      </c>
      <c r="Y35" s="387">
        <v>7500</v>
      </c>
      <c r="Z35" s="387">
        <v>120000</v>
      </c>
      <c r="AA35" s="387">
        <v>5000000</v>
      </c>
      <c r="AB35" s="387">
        <v>300000</v>
      </c>
      <c r="AC35" s="386">
        <v>0.45</v>
      </c>
      <c r="AD35" s="257">
        <f>AF20</f>
        <v>0</v>
      </c>
      <c r="AE35" s="37" t="s">
        <v>175</v>
      </c>
    </row>
    <row r="36" spans="2:31" ht="15" customHeight="1">
      <c r="B36" s="117"/>
      <c r="C36" s="41">
        <f>IF(U39=3,"Subcuenta de vivienda","")</f>
      </c>
      <c r="D36" s="65"/>
      <c r="E36" s="183"/>
      <c r="F36" s="43"/>
      <c r="G36" s="184"/>
      <c r="H36" s="83"/>
      <c r="M36" s="39"/>
      <c r="N36" s="39"/>
      <c r="O36" s="39"/>
      <c r="P36" s="71"/>
      <c r="Q36" s="133"/>
      <c r="R36" s="37"/>
      <c r="S36" s="237">
        <v>4</v>
      </c>
      <c r="T36" s="236" t="s">
        <v>102</v>
      </c>
      <c r="U36" s="236"/>
      <c r="V36" s="388">
        <v>0.015</v>
      </c>
      <c r="W36" s="386">
        <v>0</v>
      </c>
      <c r="X36" s="386">
        <v>0.75</v>
      </c>
      <c r="Y36" s="387">
        <v>10000</v>
      </c>
      <c r="Z36" s="387">
        <v>125000</v>
      </c>
      <c r="AA36" s="387">
        <v>5000000</v>
      </c>
      <c r="AB36" s="387">
        <v>0</v>
      </c>
      <c r="AC36" s="530">
        <v>0.45</v>
      </c>
      <c r="AD36" s="257">
        <f>IF(OR($Y$41=1,$Y$41=3),W84,W85)</f>
        <v>0</v>
      </c>
      <c r="AE36" s="37" t="s">
        <v>175</v>
      </c>
    </row>
    <row r="37" spans="2:31" ht="15" customHeight="1">
      <c r="B37" s="117"/>
      <c r="C37" s="41"/>
      <c r="D37" s="65"/>
      <c r="E37" s="183"/>
      <c r="F37" s="43"/>
      <c r="G37" s="72"/>
      <c r="H37" s="111"/>
      <c r="I37" s="25" t="str">
        <f>_xlfn.IFERROR(IF($U$39=6,"",IF(OR(U39=4,U39=5),"Desembolso",IF(I34-O24&gt;0,"Monto Remanente","Enganche para la compra"))),0)</f>
        <v>Enganche para la compra</v>
      </c>
      <c r="J37" s="85"/>
      <c r="K37" s="39"/>
      <c r="L37" s="84">
        <f>_xlfn.IFERROR(IF(OR(U39=4,U39=5),0,$O$24-$I$34),0)</f>
        <v>0</v>
      </c>
      <c r="M37" s="39">
        <f>IF(L37&lt;0,"negativo significa remanente para el cliente","")</f>
      </c>
      <c r="O37" s="39"/>
      <c r="P37" s="71"/>
      <c r="Q37" s="133"/>
      <c r="R37" s="112"/>
      <c r="S37" s="237">
        <v>5</v>
      </c>
      <c r="T37" s="236" t="s">
        <v>289</v>
      </c>
      <c r="U37" s="236"/>
      <c r="V37" s="388">
        <v>0.015</v>
      </c>
      <c r="W37" s="386">
        <v>0</v>
      </c>
      <c r="X37" s="386">
        <v>0.75</v>
      </c>
      <c r="Y37" s="387">
        <v>10000</v>
      </c>
      <c r="Z37" s="387">
        <v>125000</v>
      </c>
      <c r="AA37" s="387">
        <v>5000000</v>
      </c>
      <c r="AB37" s="387">
        <v>0</v>
      </c>
      <c r="AC37" s="530">
        <v>0.45</v>
      </c>
      <c r="AD37" s="257">
        <f>IF(OR($Y$41=1,$Y$41=3),W84,W85)</f>
        <v>0</v>
      </c>
      <c r="AE37" s="37" t="s">
        <v>175</v>
      </c>
    </row>
    <row r="38" spans="2:31" ht="15" customHeight="1">
      <c r="B38" s="117"/>
      <c r="C38" s="41">
        <f>IF(U39=3,"Crédito a otorgar (sin ecotecnologías)","")</f>
      </c>
      <c r="D38" s="65"/>
      <c r="E38" s="183"/>
      <c r="F38" s="43"/>
      <c r="G38" s="72"/>
      <c r="H38" s="111"/>
      <c r="I38" s="25" t="s">
        <v>121</v>
      </c>
      <c r="J38" s="85"/>
      <c r="K38" s="39"/>
      <c r="L38" s="173">
        <f>O34</f>
        <v>0</v>
      </c>
      <c r="M38" s="39"/>
      <c r="N38" s="39"/>
      <c r="O38" s="39"/>
      <c r="P38" s="71"/>
      <c r="Q38" s="133"/>
      <c r="R38" s="112"/>
      <c r="S38" s="237">
        <v>6</v>
      </c>
      <c r="T38" s="236" t="s">
        <v>296</v>
      </c>
      <c r="U38" s="236"/>
      <c r="V38" s="385">
        <v>0.0125</v>
      </c>
      <c r="W38" s="386">
        <v>0</v>
      </c>
      <c r="X38" s="386">
        <v>0.5</v>
      </c>
      <c r="Y38" s="387">
        <v>20000</v>
      </c>
      <c r="Z38" s="387">
        <v>150000</v>
      </c>
      <c r="AA38" s="387">
        <v>2500000</v>
      </c>
      <c r="AB38" s="387">
        <v>1000000</v>
      </c>
      <c r="AC38" s="529">
        <v>0.32</v>
      </c>
      <c r="AD38" s="257">
        <f>IF(OR($Y$41=1,$Y$41=3),W84,W85)</f>
        <v>0</v>
      </c>
      <c r="AE38" s="37" t="s">
        <v>176</v>
      </c>
    </row>
    <row r="39" spans="2:30" ht="15" customHeight="1">
      <c r="B39" s="117"/>
      <c r="C39" s="573">
        <f>IF(D21="","","Línea máxima a otorgar puede ser menor por perfil del cliente")</f>
      </c>
      <c r="D39" s="42"/>
      <c r="E39" s="158"/>
      <c r="F39" s="43"/>
      <c r="G39" s="162"/>
      <c r="I39" s="39" t="s">
        <v>122</v>
      </c>
      <c r="J39" s="85"/>
      <c r="K39" s="39"/>
      <c r="L39" s="189">
        <f>IF($U$39=6,L38,L37+L38)</f>
        <v>0</v>
      </c>
      <c r="M39" s="39"/>
      <c r="N39" s="169"/>
      <c r="O39" s="174"/>
      <c r="P39" s="71"/>
      <c r="Q39" s="133"/>
      <c r="R39" s="37"/>
      <c r="S39" s="234"/>
      <c r="T39" s="239" t="s">
        <v>113</v>
      </c>
      <c r="U39" s="240">
        <v>1</v>
      </c>
      <c r="V39" s="389">
        <f>_xlfn.IFERROR(IF($D$34&lt;&gt;"",$D$34,VLOOKUP($U39,$S$33:$AC$38,4,0)),0)</f>
        <v>0.0125</v>
      </c>
      <c r="W39" s="390">
        <f>VLOOKUP($U39,$S$33:$AC$38,5,0)</f>
        <v>0</v>
      </c>
      <c r="X39" s="390">
        <f>VLOOKUP($U39,$S$33:$AB$38,6,0)</f>
        <v>0.75</v>
      </c>
      <c r="Y39" s="391">
        <f>VLOOKUP($U39,$S$33:$AB$38,7,0)</f>
        <v>10000</v>
      </c>
      <c r="Z39" s="391">
        <f>VLOOKUP($U39,$S$33:$AB$38,8,0)</f>
        <v>250000</v>
      </c>
      <c r="AA39" s="391">
        <f>VLOOKUP($U39,$S$33:$AB$38,9,0)</f>
        <v>5000000</v>
      </c>
      <c r="AB39" s="391">
        <f>VLOOKUP($U39,$S$33:$AB$38,10,0)</f>
        <v>400000</v>
      </c>
      <c r="AC39" s="390">
        <f>VLOOKUP($U39,$S$33:$AC$38,11,0)</f>
        <v>0.45</v>
      </c>
      <c r="AD39" s="610">
        <f>VLOOKUP($U39,$S$33:$AD$38,12,0)</f>
        <v>0</v>
      </c>
    </row>
    <row r="40" spans="2:26" ht="15" customHeight="1">
      <c r="B40" s="117"/>
      <c r="C40" s="43"/>
      <c r="D40" s="43"/>
      <c r="E40" s="43"/>
      <c r="F40" s="43"/>
      <c r="G40" s="540" t="s">
        <v>101</v>
      </c>
      <c r="H40" s="43"/>
      <c r="I40" s="541">
        <f>X63</f>
        <v>0</v>
      </c>
      <c r="J40" s="39"/>
      <c r="K40" s="39"/>
      <c r="M40" s="39"/>
      <c r="P40" s="71"/>
      <c r="Q40" s="133"/>
      <c r="V40" s="80"/>
      <c r="Y40" s="81">
        <v>1</v>
      </c>
      <c r="Z40" s="153"/>
    </row>
    <row r="41" spans="2:31" ht="15" customHeight="1">
      <c r="B41" s="117"/>
      <c r="C41" s="134">
        <f>IF(U39=3,"Cofinanciamientos (datos del conyuge, si aplica))","")</f>
      </c>
      <c r="D41" s="43"/>
      <c r="E41" s="43"/>
      <c r="F41" s="43"/>
      <c r="G41" s="73" t="s">
        <v>93</v>
      </c>
      <c r="H41" s="74"/>
      <c r="I41" s="84">
        <f>Y63</f>
        <v>0</v>
      </c>
      <c r="J41" s="39"/>
      <c r="K41" s="39"/>
      <c r="N41" s="205" t="s">
        <v>134</v>
      </c>
      <c r="O41" s="39"/>
      <c r="P41" s="71"/>
      <c r="Q41" s="133"/>
      <c r="S41" s="226" t="s">
        <v>111</v>
      </c>
      <c r="T41" s="229">
        <v>1</v>
      </c>
      <c r="U41" s="408" t="s">
        <v>259</v>
      </c>
      <c r="V41" s="80"/>
      <c r="W41" s="226" t="s">
        <v>114</v>
      </c>
      <c r="X41" s="227"/>
      <c r="Y41" s="228">
        <v>1</v>
      </c>
      <c r="Z41" s="81"/>
      <c r="AA41" s="81"/>
      <c r="AD41" s="109" t="s">
        <v>110</v>
      </c>
      <c r="AE41" s="109"/>
    </row>
    <row r="42" spans="2:31" ht="15" customHeight="1">
      <c r="B42" s="117"/>
      <c r="C42" s="41">
        <f>IF(U39=3,"Subcuenta de vivienda","")</f>
      </c>
      <c r="D42" s="65"/>
      <c r="E42" s="183"/>
      <c r="F42" s="43"/>
      <c r="G42" s="540" t="s">
        <v>38</v>
      </c>
      <c r="H42" s="74"/>
      <c r="I42" s="542">
        <f>+V67</f>
        <v>0</v>
      </c>
      <c r="J42" s="39"/>
      <c r="K42" s="39"/>
      <c r="N42" s="203" t="s">
        <v>136</v>
      </c>
      <c r="O42" s="39">
        <f>$Z$39</f>
        <v>250000</v>
      </c>
      <c r="P42" s="71"/>
      <c r="Q42" s="133"/>
      <c r="S42" s="155" t="s">
        <v>100</v>
      </c>
      <c r="T42" s="156"/>
      <c r="U42" s="407"/>
      <c r="V42" s="80"/>
      <c r="W42" s="163" t="s">
        <v>21</v>
      </c>
      <c r="X42" s="164"/>
      <c r="Y42" s="163"/>
      <c r="Z42" s="243" t="s">
        <v>140</v>
      </c>
      <c r="AA42" s="241"/>
      <c r="AB42" s="254"/>
      <c r="AC42" s="358" t="s">
        <v>248</v>
      </c>
      <c r="AD42" s="109" t="s">
        <v>126</v>
      </c>
      <c r="AE42" s="109"/>
    </row>
    <row r="43" spans="2:31" ht="15" customHeight="1">
      <c r="B43" s="117"/>
      <c r="C43" s="41"/>
      <c r="D43" s="65"/>
      <c r="E43" s="183"/>
      <c r="F43" s="43"/>
      <c r="G43" s="73" t="s">
        <v>96</v>
      </c>
      <c r="H43" s="74"/>
      <c r="I43" s="84">
        <f>+W67</f>
        <v>0</v>
      </c>
      <c r="J43" s="39"/>
      <c r="K43" s="175"/>
      <c r="N43" s="203" t="s">
        <v>137</v>
      </c>
      <c r="O43" s="39">
        <f>$AB$39</f>
        <v>400000</v>
      </c>
      <c r="P43" s="71"/>
      <c r="Q43" s="133"/>
      <c r="S43" s="155" t="s">
        <v>258</v>
      </c>
      <c r="T43" s="156"/>
      <c r="U43" s="407">
        <v>0.0116</v>
      </c>
      <c r="V43" s="80"/>
      <c r="W43" s="163" t="s">
        <v>20</v>
      </c>
      <c r="X43" s="164"/>
      <c r="Y43" s="163"/>
      <c r="Z43" s="242" t="s">
        <v>141</v>
      </c>
      <c r="AA43" s="244">
        <v>0.000556</v>
      </c>
      <c r="AB43" s="255">
        <v>0.000556</v>
      </c>
      <c r="AC43" s="359">
        <v>0</v>
      </c>
      <c r="AD43" s="109" t="s">
        <v>123</v>
      </c>
      <c r="AE43" s="109"/>
    </row>
    <row r="44" spans="2:28" ht="15" customHeight="1">
      <c r="B44" s="117"/>
      <c r="C44" s="41">
        <f>IF(U39=3,"Crédito a otorgar (sin ecotecnologías)","")</f>
      </c>
      <c r="D44" s="65"/>
      <c r="E44" s="183"/>
      <c r="F44" s="43"/>
      <c r="G44" s="73" t="s">
        <v>94</v>
      </c>
      <c r="H44" s="74"/>
      <c r="I44" s="84">
        <f>VLOOKUP(U62,S63:Z66,8,0)</f>
        <v>10000</v>
      </c>
      <c r="J44" s="39"/>
      <c r="K44" s="175"/>
      <c r="N44" s="203" t="s">
        <v>135</v>
      </c>
      <c r="O44" s="202">
        <f>1-$X$39</f>
        <v>0.25</v>
      </c>
      <c r="P44" s="71"/>
      <c r="Q44" s="133"/>
      <c r="S44" s="155"/>
      <c r="T44" s="155"/>
      <c r="U44" s="156"/>
      <c r="V44" s="80"/>
      <c r="W44" s="163" t="s">
        <v>55</v>
      </c>
      <c r="X44" s="164"/>
      <c r="Y44" s="163"/>
      <c r="Z44" s="242" t="s">
        <v>142</v>
      </c>
      <c r="AA44" s="244">
        <v>0.0003016</v>
      </c>
      <c r="AB44" s="255">
        <v>0.0003016</v>
      </c>
    </row>
    <row r="45" spans="2:32" ht="15.75">
      <c r="B45" s="117"/>
      <c r="C45" s="42"/>
      <c r="D45" s="42"/>
      <c r="E45" s="158"/>
      <c r="F45" s="43"/>
      <c r="G45" s="176" t="s">
        <v>95</v>
      </c>
      <c r="H45" s="75"/>
      <c r="I45" s="177">
        <f>IF(I25=0,0,_xlfn.IFERROR(AC43,0))</f>
        <v>0</v>
      </c>
      <c r="J45" s="76"/>
      <c r="K45" s="103"/>
      <c r="L45" s="76"/>
      <c r="M45" s="76"/>
      <c r="N45" s="76"/>
      <c r="O45" s="204"/>
      <c r="P45" s="77"/>
      <c r="Q45" s="133"/>
      <c r="U45" s="3"/>
      <c r="V45" s="3"/>
      <c r="W45" s="3"/>
      <c r="X45" s="3"/>
      <c r="Y45" s="3"/>
      <c r="Z45" s="3"/>
      <c r="AA45" s="3"/>
      <c r="AB45" s="3"/>
      <c r="AC45" s="3"/>
      <c r="AD45" s="3"/>
      <c r="AE45" s="3"/>
      <c r="AF45" s="3"/>
    </row>
    <row r="46" spans="2:32" ht="14.25">
      <c r="B46" s="117"/>
      <c r="F46" s="43"/>
      <c r="G46" s="127"/>
      <c r="L46" s="129"/>
      <c r="P46" s="39"/>
      <c r="Q46" s="133"/>
      <c r="U46" s="3"/>
      <c r="V46" s="3"/>
      <c r="W46" s="3"/>
      <c r="X46" s="3"/>
      <c r="Y46" s="3"/>
      <c r="Z46" s="3"/>
      <c r="AA46" s="449"/>
      <c r="AB46" s="3"/>
      <c r="AC46" s="3"/>
      <c r="AD46" s="3"/>
      <c r="AE46" s="3"/>
      <c r="AF46" s="3"/>
    </row>
    <row r="47" spans="2:32" ht="11.25">
      <c r="B47" s="117"/>
      <c r="F47" s="43"/>
      <c r="G47" s="135"/>
      <c r="N47" s="206"/>
      <c r="P47" s="39"/>
      <c r="Q47" s="133"/>
      <c r="U47" s="3"/>
      <c r="V47" s="3"/>
      <c r="W47" s="3"/>
      <c r="X47" s="3"/>
      <c r="Y47" s="3"/>
      <c r="Z47" s="3"/>
      <c r="AA47" s="3"/>
      <c r="AB47" s="3"/>
      <c r="AC47" s="3"/>
      <c r="AD47" s="3"/>
      <c r="AE47" s="3"/>
      <c r="AF47" s="3"/>
    </row>
    <row r="48" spans="1:32" ht="16.5" thickBot="1">
      <c r="A48" s="130"/>
      <c r="B48" s="117"/>
      <c r="C48" s="170"/>
      <c r="D48" s="171"/>
      <c r="E48" s="171"/>
      <c r="F48" s="43"/>
      <c r="G48" s="108"/>
      <c r="H48" s="74"/>
      <c r="I48" s="65"/>
      <c r="J48" s="39"/>
      <c r="K48" s="106"/>
      <c r="M48" s="201"/>
      <c r="N48" s="39"/>
      <c r="O48" s="206"/>
      <c r="P48" s="39"/>
      <c r="Q48" s="133"/>
      <c r="U48" s="3"/>
      <c r="V48" s="3"/>
      <c r="W48" s="3"/>
      <c r="X48" s="3"/>
      <c r="Y48" s="3"/>
      <c r="Z48" s="3"/>
      <c r="AA48" s="446"/>
      <c r="AB48" s="104"/>
      <c r="AC48" s="445"/>
      <c r="AD48" s="3"/>
      <c r="AE48" s="3"/>
      <c r="AF48" s="3"/>
    </row>
    <row r="49" spans="1:32" ht="12.75">
      <c r="A49" s="130"/>
      <c r="B49" s="137"/>
      <c r="C49" s="95" t="s">
        <v>4</v>
      </c>
      <c r="D49" s="96"/>
      <c r="E49" s="96"/>
      <c r="F49" s="97"/>
      <c r="G49" s="97"/>
      <c r="H49" s="97"/>
      <c r="I49" s="611"/>
      <c r="J49" s="97"/>
      <c r="K49" s="97"/>
      <c r="L49" s="97"/>
      <c r="M49" s="97"/>
      <c r="N49" s="97"/>
      <c r="O49" s="611"/>
      <c r="P49" s="98"/>
      <c r="Q49" s="133"/>
      <c r="U49" s="3"/>
      <c r="V49" s="3"/>
      <c r="W49" s="3"/>
      <c r="X49" s="3"/>
      <c r="Y49" s="3"/>
      <c r="Z49" s="3"/>
      <c r="AA49" s="446"/>
      <c r="AB49" s="104"/>
      <c r="AC49" s="445"/>
      <c r="AD49" s="3"/>
      <c r="AE49" s="3"/>
      <c r="AF49" s="3"/>
    </row>
    <row r="50" spans="1:32" ht="12.75">
      <c r="A50" s="130"/>
      <c r="B50" s="137"/>
      <c r="C50" s="105">
        <f>_xlfn.IFERROR("- Los impuestos y derechos están calculados al "&amp;TEXT(($O$28/$O$24),"#,##0.00%")&amp;" del valor del inmueble, pueden cambiar dependiendo de la entidad federativa.","")</f>
      </c>
      <c r="D50" s="61"/>
      <c r="E50" s="61"/>
      <c r="F50" s="8"/>
      <c r="G50" s="8"/>
      <c r="H50" s="8"/>
      <c r="I50" s="8"/>
      <c r="J50" s="8"/>
      <c r="K50" s="8"/>
      <c r="L50" s="8"/>
      <c r="M50" s="8"/>
      <c r="N50" s="8"/>
      <c r="O50" s="8"/>
      <c r="P50" s="99"/>
      <c r="Q50" s="133"/>
      <c r="U50" s="3"/>
      <c r="V50" s="3"/>
      <c r="W50" s="3"/>
      <c r="X50" s="3"/>
      <c r="Y50" s="3"/>
      <c r="Z50" s="3"/>
      <c r="AA50" s="446"/>
      <c r="AB50" s="104"/>
      <c r="AC50" s="445"/>
      <c r="AD50" s="3"/>
      <c r="AE50" s="3"/>
      <c r="AF50" s="3"/>
    </row>
    <row r="51" spans="1:29" ht="12.75">
      <c r="A51" s="130"/>
      <c r="B51" s="137"/>
      <c r="C51" s="105">
        <f>_xlfn.IFERROR("- Los honorarios notariales en los créditos en cofinanciamiento están calculados al "&amp;TEXT(($O$29/$O$24),"#,##0.00%")&amp;" del valor del inmueble, pueden variar dependiendo de la entidad federativa.","")</f>
      </c>
      <c r="D51" s="61"/>
      <c r="E51" s="61"/>
      <c r="F51" s="8"/>
      <c r="G51" s="8"/>
      <c r="H51" s="8"/>
      <c r="I51" s="8"/>
      <c r="J51" s="8"/>
      <c r="K51" s="8"/>
      <c r="L51" s="8"/>
      <c r="M51" s="8"/>
      <c r="N51" s="8"/>
      <c r="O51" s="8"/>
      <c r="P51" s="99"/>
      <c r="Q51" s="133"/>
      <c r="S51" s="37"/>
      <c r="T51" s="37"/>
      <c r="U51" s="37"/>
      <c r="V51" s="37"/>
      <c r="W51" s="37"/>
      <c r="X51" s="37"/>
      <c r="Y51" s="37"/>
      <c r="AA51" s="447"/>
      <c r="AB51" s="448"/>
      <c r="AC51" s="445"/>
    </row>
    <row r="52" spans="1:25" ht="12.75">
      <c r="A52" s="130"/>
      <c r="B52" s="137"/>
      <c r="C52" s="100" t="s">
        <v>34</v>
      </c>
      <c r="D52" s="61"/>
      <c r="E52" s="61"/>
      <c r="F52" s="8"/>
      <c r="G52" s="8"/>
      <c r="H52" s="8"/>
      <c r="I52" s="8"/>
      <c r="J52" s="8"/>
      <c r="K52" s="8"/>
      <c r="L52" s="8"/>
      <c r="M52" s="8"/>
      <c r="N52" s="8"/>
      <c r="O52" s="8"/>
      <c r="P52" s="99"/>
      <c r="Q52" s="133"/>
      <c r="S52" s="37"/>
      <c r="T52" s="37"/>
      <c r="U52" s="37"/>
      <c r="V52" s="37"/>
      <c r="W52" s="37"/>
      <c r="X52" s="37"/>
      <c r="Y52" s="37"/>
    </row>
    <row r="53" spans="1:25" ht="12.75">
      <c r="A53" s="131"/>
      <c r="B53" s="137"/>
      <c r="C53" s="100" t="s">
        <v>288</v>
      </c>
      <c r="D53" s="7"/>
      <c r="E53" s="7"/>
      <c r="F53" s="8"/>
      <c r="G53" s="8"/>
      <c r="H53" s="8"/>
      <c r="I53" s="8"/>
      <c r="J53" s="8"/>
      <c r="K53" s="8"/>
      <c r="L53" s="8"/>
      <c r="M53" s="8"/>
      <c r="N53" s="8"/>
      <c r="O53" s="8"/>
      <c r="P53" s="99"/>
      <c r="Q53" s="133"/>
      <c r="R53" s="37"/>
      <c r="S53" s="37"/>
      <c r="T53" s="37"/>
      <c r="U53" s="37"/>
      <c r="V53" s="37"/>
      <c r="W53" s="37"/>
      <c r="X53" s="37"/>
      <c r="Y53" s="37"/>
    </row>
    <row r="54" spans="1:25" ht="12.75">
      <c r="A54" s="130"/>
      <c r="B54" s="137"/>
      <c r="C54" s="101" t="s">
        <v>50</v>
      </c>
      <c r="D54" s="7"/>
      <c r="E54" s="7"/>
      <c r="F54" s="8"/>
      <c r="G54" s="8"/>
      <c r="H54" s="8"/>
      <c r="I54" s="8"/>
      <c r="J54" s="8"/>
      <c r="K54" s="8"/>
      <c r="L54" s="8"/>
      <c r="M54" s="8"/>
      <c r="N54" s="8"/>
      <c r="O54" s="8"/>
      <c r="P54" s="99"/>
      <c r="Q54" s="133"/>
      <c r="R54" s="37"/>
      <c r="S54" s="37"/>
      <c r="T54" s="37"/>
      <c r="U54" s="37"/>
      <c r="V54" s="37"/>
      <c r="W54" s="37"/>
      <c r="X54" s="37"/>
      <c r="Y54" s="37"/>
    </row>
    <row r="55" spans="1:25" ht="12.75">
      <c r="A55" s="130"/>
      <c r="B55" s="137"/>
      <c r="C55" s="100" t="s">
        <v>24</v>
      </c>
      <c r="D55" s="62"/>
      <c r="E55" s="62"/>
      <c r="F55" s="8"/>
      <c r="G55" s="8"/>
      <c r="H55" s="8"/>
      <c r="I55" s="8"/>
      <c r="J55" s="8"/>
      <c r="K55" s="8"/>
      <c r="L55" s="8"/>
      <c r="M55" s="8"/>
      <c r="N55" s="8"/>
      <c r="O55" s="8"/>
      <c r="P55" s="99"/>
      <c r="Q55" s="133"/>
      <c r="R55" s="37"/>
      <c r="S55" s="37"/>
      <c r="T55" s="37"/>
      <c r="U55" s="37"/>
      <c r="V55" s="37"/>
      <c r="W55" s="37"/>
      <c r="X55" s="37"/>
      <c r="Y55" s="37"/>
    </row>
    <row r="56" spans="1:33" ht="12.75">
      <c r="A56" s="130"/>
      <c r="B56" s="137"/>
      <c r="C56" s="100" t="s">
        <v>27</v>
      </c>
      <c r="D56" s="63"/>
      <c r="E56" s="63"/>
      <c r="F56" s="8"/>
      <c r="G56" s="8"/>
      <c r="H56" s="8"/>
      <c r="I56" s="8"/>
      <c r="J56" s="8"/>
      <c r="K56" s="8"/>
      <c r="L56" s="8"/>
      <c r="M56" s="8"/>
      <c r="N56" s="8"/>
      <c r="O56" s="8"/>
      <c r="P56" s="99"/>
      <c r="Q56" s="133"/>
      <c r="R56" s="37"/>
      <c r="S56" s="37"/>
      <c r="T56" s="37"/>
      <c r="U56" s="37"/>
      <c r="V56" s="37"/>
      <c r="W56" s="37"/>
      <c r="X56" s="37"/>
      <c r="Y56" s="37"/>
      <c r="AG56" s="173"/>
    </row>
    <row r="57" spans="1:25" ht="13.5" thickBot="1">
      <c r="A57" s="130"/>
      <c r="B57" s="137"/>
      <c r="C57" s="623">
        <f>IF($U$62=1,"","'- Apartir del mes  número 61 y en caso de que el cliente no se reúna con el Banco para revisar y negociar la nueva Tasa de interés que rejirá el crédito, la Tasa de Interés aplicable será de "&amp;"T.I.I.E. más 4.5 puntos porcentuales, por lo que los valores que se muestran se ajustarán durante la vigencia del crédito en función de la Tasa de Interés variable señalada.")</f>
      </c>
      <c r="D57" s="624"/>
      <c r="E57" s="624"/>
      <c r="F57" s="624"/>
      <c r="G57" s="624"/>
      <c r="H57" s="624"/>
      <c r="I57" s="624"/>
      <c r="J57" s="624"/>
      <c r="K57" s="624"/>
      <c r="L57" s="624"/>
      <c r="M57" s="624"/>
      <c r="N57" s="624"/>
      <c r="O57" s="545" t="s">
        <v>340</v>
      </c>
      <c r="P57" s="140"/>
      <c r="Q57" s="133"/>
      <c r="R57" s="37"/>
      <c r="S57" s="37"/>
      <c r="T57" s="37"/>
      <c r="U57" s="37"/>
      <c r="V57" s="37"/>
      <c r="W57" s="37"/>
      <c r="X57" s="37"/>
      <c r="Y57" s="37"/>
    </row>
    <row r="58" spans="1:25" ht="13.5" thickBot="1">
      <c r="A58" s="130"/>
      <c r="B58" s="138"/>
      <c r="C58" s="120"/>
      <c r="D58" s="120"/>
      <c r="E58" s="120"/>
      <c r="F58" s="120"/>
      <c r="G58" s="120"/>
      <c r="H58" s="120"/>
      <c r="I58" s="120"/>
      <c r="J58" s="121"/>
      <c r="K58" s="121"/>
      <c r="L58" s="121"/>
      <c r="M58" s="121"/>
      <c r="N58" s="121"/>
      <c r="O58" s="121"/>
      <c r="P58" s="121"/>
      <c r="Q58" s="139"/>
      <c r="R58" s="37"/>
      <c r="S58" s="37"/>
      <c r="T58" s="37"/>
      <c r="U58" s="37"/>
      <c r="V58" s="37"/>
      <c r="W58" s="37"/>
      <c r="X58" s="37"/>
      <c r="Y58" s="37"/>
    </row>
    <row r="59" spans="1:25" ht="27.75" customHeight="1">
      <c r="A59" s="130"/>
      <c r="B59" s="114"/>
      <c r="C59" s="141"/>
      <c r="D59" s="142"/>
      <c r="E59" s="142"/>
      <c r="F59" s="114"/>
      <c r="G59" s="114"/>
      <c r="H59" s="143"/>
      <c r="I59" s="144"/>
      <c r="J59" s="115"/>
      <c r="K59" s="145"/>
      <c r="L59" s="115"/>
      <c r="M59" s="115"/>
      <c r="N59" s="115"/>
      <c r="O59" s="146"/>
      <c r="P59" s="115"/>
      <c r="Q59" s="147"/>
      <c r="R59" s="37"/>
      <c r="S59" s="37"/>
      <c r="T59" s="37"/>
      <c r="U59" s="37"/>
      <c r="V59" s="37"/>
      <c r="W59" s="37"/>
      <c r="X59" s="37"/>
      <c r="Y59" s="37"/>
    </row>
    <row r="60" spans="1:32" ht="15.75">
      <c r="A60" s="130"/>
      <c r="B60" s="43"/>
      <c r="C60" s="43"/>
      <c r="D60" s="136"/>
      <c r="E60" s="136"/>
      <c r="F60" s="43"/>
      <c r="G60" s="43"/>
      <c r="H60" s="74"/>
      <c r="I60" s="83"/>
      <c r="J60" s="39"/>
      <c r="K60" s="106"/>
      <c r="L60" s="39"/>
      <c r="M60" s="39"/>
      <c r="N60" s="39"/>
      <c r="O60" s="107"/>
      <c r="P60" s="39"/>
      <c r="Q60" s="148"/>
      <c r="R60" s="37"/>
      <c r="W60" s="306"/>
      <c r="X60" s="306"/>
      <c r="AF60" s="157"/>
    </row>
    <row r="61" spans="1:33" ht="12.75">
      <c r="A61" s="130"/>
      <c r="B61" s="43"/>
      <c r="N61" s="39"/>
      <c r="O61" s="107"/>
      <c r="P61" s="39"/>
      <c r="Q61" s="148"/>
      <c r="R61" s="37"/>
      <c r="S61" s="159"/>
      <c r="T61" s="303" t="s">
        <v>58</v>
      </c>
      <c r="U61" s="303" t="s">
        <v>5</v>
      </c>
      <c r="V61" s="463" t="s">
        <v>115</v>
      </c>
      <c r="W61" s="463" t="s">
        <v>225</v>
      </c>
      <c r="X61" s="374" t="s">
        <v>101</v>
      </c>
      <c r="Y61" s="313" t="s">
        <v>93</v>
      </c>
      <c r="Z61" s="313" t="s">
        <v>227</v>
      </c>
      <c r="AA61" s="282" t="s">
        <v>133</v>
      </c>
      <c r="AB61" s="283"/>
      <c r="AC61" s="283"/>
      <c r="AD61" s="284"/>
      <c r="AE61" s="285"/>
      <c r="AF61" s="252">
        <f>IF($U$39=3,"Infonavit gastos de originación","")</f>
      </c>
      <c r="AG61" s="253">
        <v>0.05</v>
      </c>
    </row>
    <row r="62" spans="1:33" ht="12.75">
      <c r="A62" s="130"/>
      <c r="B62" s="43"/>
      <c r="N62" s="39"/>
      <c r="O62" s="107"/>
      <c r="P62" s="39"/>
      <c r="Q62" s="148"/>
      <c r="R62" s="37"/>
      <c r="S62" s="230" t="s">
        <v>5</v>
      </c>
      <c r="T62" s="305"/>
      <c r="U62" s="305">
        <v>1</v>
      </c>
      <c r="V62" s="304">
        <v>1</v>
      </c>
      <c r="W62" s="304"/>
      <c r="X62" s="313" t="s">
        <v>253</v>
      </c>
      <c r="Y62" s="304"/>
      <c r="Z62" s="304"/>
      <c r="AA62" s="286" t="s">
        <v>49</v>
      </c>
      <c r="AB62" s="287" t="s">
        <v>223</v>
      </c>
      <c r="AC62" s="288" t="s">
        <v>31</v>
      </c>
      <c r="AD62" s="287"/>
      <c r="AE62" s="289"/>
      <c r="AF62" s="252" t="str">
        <f>IF($U$39=3,"Infonavit impuestos y derechos","Impuestos y derechos")</f>
        <v>Impuestos y derechos</v>
      </c>
      <c r="AG62" s="253">
        <v>0.05</v>
      </c>
    </row>
    <row r="63" spans="1:34" ht="11.25">
      <c r="A63" s="130"/>
      <c r="B63" s="43"/>
      <c r="N63" s="39"/>
      <c r="O63" s="39"/>
      <c r="P63" s="39"/>
      <c r="Q63" s="148"/>
      <c r="R63" s="37"/>
      <c r="S63" s="309">
        <v>1</v>
      </c>
      <c r="T63" s="393" t="s">
        <v>257</v>
      </c>
      <c r="U63" s="307" t="s">
        <v>223</v>
      </c>
      <c r="V63" s="457">
        <v>0.085</v>
      </c>
      <c r="W63" s="458">
        <v>20.58</v>
      </c>
      <c r="X63" s="630">
        <f>'Tabla de amortizacion'!B10</f>
        <v>0</v>
      </c>
      <c r="Y63" s="627">
        <f>'Tabla de amortizacion'!Y15</f>
        <v>0</v>
      </c>
      <c r="Z63" s="314">
        <f>_xlfn.IFERROR(MAX($Y$39,$I$25/1000*$W$63/$AC$39),0)</f>
        <v>10000</v>
      </c>
      <c r="AA63" s="290" t="s">
        <v>138</v>
      </c>
      <c r="AB63" s="292">
        <f>_xlfn.IFERROR($I$25/1000*$W$63/$AC$39,0)</f>
        <v>0</v>
      </c>
      <c r="AC63" s="292">
        <f>_xlfn.IFERROR($I$25/1000*$W$64/$AC$39,0)</f>
        <v>0</v>
      </c>
      <c r="AD63" s="292"/>
      <c r="AE63" s="293"/>
      <c r="AF63" s="252" t="s">
        <v>124</v>
      </c>
      <c r="AG63" s="253">
        <v>0.02</v>
      </c>
      <c r="AH63" s="154"/>
    </row>
    <row r="64" spans="1:34" ht="12">
      <c r="A64" s="130"/>
      <c r="B64" s="43"/>
      <c r="Q64" s="148"/>
      <c r="R64" s="37"/>
      <c r="S64" s="310">
        <v>2</v>
      </c>
      <c r="T64" s="394" t="s">
        <v>257</v>
      </c>
      <c r="U64" s="308" t="s">
        <v>31</v>
      </c>
      <c r="V64" s="459">
        <v>0.09</v>
      </c>
      <c r="W64" s="460">
        <v>12.75</v>
      </c>
      <c r="X64" s="631"/>
      <c r="Y64" s="628"/>
      <c r="Z64" s="315">
        <f>_xlfn.IFERROR(MAX($Y$39,$I$25/1000*$W$64/$AC$39),0)</f>
        <v>10000</v>
      </c>
      <c r="AA64" s="290" t="s">
        <v>20</v>
      </c>
      <c r="AB64" s="292">
        <f>AB63</f>
        <v>0</v>
      </c>
      <c r="AC64" s="292">
        <f>AC63</f>
        <v>0</v>
      </c>
      <c r="AD64" s="292"/>
      <c r="AE64" s="293"/>
      <c r="AF64" s="351" t="s">
        <v>143</v>
      </c>
      <c r="AG64" s="352"/>
      <c r="AH64" s="353"/>
    </row>
    <row r="65" spans="1:34" ht="15">
      <c r="A65" s="130"/>
      <c r="B65" s="24"/>
      <c r="Q65" s="148"/>
      <c r="R65" s="37"/>
      <c r="S65" s="310">
        <v>3</v>
      </c>
      <c r="T65" s="394"/>
      <c r="U65" s="307" t="s">
        <v>324</v>
      </c>
      <c r="V65" s="459">
        <v>0.095</v>
      </c>
      <c r="W65" s="460">
        <v>10.55</v>
      </c>
      <c r="X65" s="631"/>
      <c r="Y65" s="628"/>
      <c r="Z65" s="315">
        <f>_xlfn.IFERROR(MAX($Y$39,$I$25/1000*$W$65/$AC$39),0)</f>
        <v>10000</v>
      </c>
      <c r="AA65" s="290"/>
      <c r="AB65" s="291"/>
      <c r="AC65" s="292"/>
      <c r="AD65" s="292"/>
      <c r="AE65" s="293"/>
      <c r="AF65" s="414" t="s">
        <v>334</v>
      </c>
      <c r="AG65" s="354"/>
      <c r="AH65" s="418">
        <v>96.22</v>
      </c>
    </row>
    <row r="66" spans="1:34" ht="12">
      <c r="A66" s="130"/>
      <c r="B66" s="24"/>
      <c r="Q66" s="148"/>
      <c r="R66" s="37"/>
      <c r="S66" s="311">
        <v>4</v>
      </c>
      <c r="T66" s="395"/>
      <c r="U66" s="308" t="s">
        <v>325</v>
      </c>
      <c r="V66" s="461">
        <v>0.095</v>
      </c>
      <c r="W66" s="462">
        <v>9.42</v>
      </c>
      <c r="X66" s="632"/>
      <c r="Y66" s="629"/>
      <c r="Z66" s="316">
        <f>_xlfn.IFERROR(MAX($Y$39,$I$25/1000*$W$66/$AC$39),0)</f>
        <v>10000</v>
      </c>
      <c r="AA66" s="286"/>
      <c r="AB66" s="294">
        <f>MAX($Y$39,AB63)</f>
        <v>10000</v>
      </c>
      <c r="AC66" s="294">
        <f>MAX($Y$39,IF($Y$41=1,AC63,AC64))</f>
        <v>10000</v>
      </c>
      <c r="AD66" s="294"/>
      <c r="AE66" s="295"/>
      <c r="AF66" s="355" t="s">
        <v>144</v>
      </c>
      <c r="AG66" s="352"/>
      <c r="AH66" s="356">
        <v>25</v>
      </c>
    </row>
    <row r="67" spans="1:34" ht="12">
      <c r="A67" s="130"/>
      <c r="B67" s="24"/>
      <c r="Q67" s="148"/>
      <c r="R67" s="37"/>
      <c r="S67" s="4"/>
      <c r="T67" s="4"/>
      <c r="U67" s="2">
        <f>IF(I25=0,0,VLOOKUP(U62,S63:V66,3,0))</f>
        <v>0</v>
      </c>
      <c r="V67" s="406">
        <f>IF(I25=0,0,VLOOKUP(U62,S63:V66,4,0))</f>
        <v>0</v>
      </c>
      <c r="W67" s="2">
        <f>IF(I25=0,0,VLOOKUP(U62,S63:W66,5,0))</f>
        <v>0</v>
      </c>
      <c r="X67" s="130"/>
      <c r="AA67" s="286" t="s">
        <v>56</v>
      </c>
      <c r="AB67" s="287" t="s">
        <v>223</v>
      </c>
      <c r="AC67" s="288" t="s">
        <v>31</v>
      </c>
      <c r="AD67" s="287"/>
      <c r="AE67" s="289"/>
      <c r="AF67" s="355"/>
      <c r="AG67" s="352"/>
      <c r="AH67" s="355">
        <f>+AH65*AH66</f>
        <v>2405.5</v>
      </c>
    </row>
    <row r="68" spans="1:38" ht="12">
      <c r="A68" s="130"/>
      <c r="B68" s="24"/>
      <c r="Q68" s="148"/>
      <c r="R68" s="37"/>
      <c r="S68" s="230" t="s">
        <v>58</v>
      </c>
      <c r="T68" s="231">
        <v>2</v>
      </c>
      <c r="U68" s="130"/>
      <c r="X68" s="130"/>
      <c r="AA68" s="290" t="s">
        <v>138</v>
      </c>
      <c r="AB68" s="292">
        <f>_xlfn.IFERROR($I$25/1000*$AE$56/$AC$39,0)</f>
        <v>0</v>
      </c>
      <c r="AC68" s="292">
        <f>_xlfn.IFERROR($I$25/1000*$AB$56/$AC$39,0)</f>
        <v>0</v>
      </c>
      <c r="AD68" s="292"/>
      <c r="AE68" s="293"/>
      <c r="AF68" s="355" t="s">
        <v>145</v>
      </c>
      <c r="AG68" s="352"/>
      <c r="AH68" s="355">
        <f>+AH67*AG69</f>
        <v>120.275</v>
      </c>
      <c r="AL68" s="415"/>
    </row>
    <row r="69" spans="1:38" ht="12">
      <c r="A69" s="130"/>
      <c r="B69" s="24"/>
      <c r="Q69" s="148"/>
      <c r="R69" s="37"/>
      <c r="S69" s="280">
        <v>1</v>
      </c>
      <c r="T69" s="483" t="s">
        <v>255</v>
      </c>
      <c r="U69" s="130"/>
      <c r="W69" s="368"/>
      <c r="X69" s="369"/>
      <c r="AA69" s="290" t="s">
        <v>20</v>
      </c>
      <c r="AB69" s="292">
        <f>AB68</f>
        <v>0</v>
      </c>
      <c r="AC69" s="292">
        <f>AC68</f>
        <v>0</v>
      </c>
      <c r="AD69" s="292"/>
      <c r="AE69" s="293"/>
      <c r="AF69" s="355"/>
      <c r="AG69" s="456">
        <v>0.05</v>
      </c>
      <c r="AH69" s="355"/>
      <c r="AL69" s="415"/>
    </row>
    <row r="70" spans="1:34" ht="12">
      <c r="A70" s="130"/>
      <c r="B70" s="24"/>
      <c r="Q70" s="148"/>
      <c r="R70" s="37"/>
      <c r="S70" s="280">
        <v>2</v>
      </c>
      <c r="T70" s="483" t="s">
        <v>256</v>
      </c>
      <c r="U70" s="130"/>
      <c r="W70" s="370"/>
      <c r="X70" s="371"/>
      <c r="Y70" s="485"/>
      <c r="AA70" s="290"/>
      <c r="AB70" s="292"/>
      <c r="AC70" s="292"/>
      <c r="AD70" s="292"/>
      <c r="AE70" s="293"/>
      <c r="AF70" s="355" t="s">
        <v>146</v>
      </c>
      <c r="AG70" s="352"/>
      <c r="AH70" s="355">
        <v>60.8</v>
      </c>
    </row>
    <row r="71" spans="1:34" ht="12">
      <c r="A71" s="130"/>
      <c r="B71" s="24"/>
      <c r="Q71" s="148"/>
      <c r="R71" s="37"/>
      <c r="S71" s="280">
        <v>3</v>
      </c>
      <c r="T71" s="483" t="s">
        <v>322</v>
      </c>
      <c r="U71" s="130"/>
      <c r="W71" s="370"/>
      <c r="X71" s="371"/>
      <c r="AA71" s="296"/>
      <c r="AB71" s="297">
        <f>MAX($Y$39,IF($Y$41=1,AB68,AB69))</f>
        <v>10000</v>
      </c>
      <c r="AC71" s="297">
        <f>MAX($Y$39,IF($Y$41=1,AC68,AC69))</f>
        <v>10000</v>
      </c>
      <c r="AD71" s="297"/>
      <c r="AE71" s="298"/>
      <c r="AF71" s="355" t="s">
        <v>147</v>
      </c>
      <c r="AG71" s="352"/>
      <c r="AH71" s="357">
        <f>+AH68*AH70</f>
        <v>7312.72</v>
      </c>
    </row>
    <row r="72" spans="1:34" ht="12">
      <c r="A72" s="130"/>
      <c r="B72" s="24"/>
      <c r="Q72" s="148"/>
      <c r="R72" s="37"/>
      <c r="S72" s="281">
        <v>4</v>
      </c>
      <c r="T72" s="483" t="s">
        <v>323</v>
      </c>
      <c r="U72" s="130"/>
      <c r="W72" s="370"/>
      <c r="X72" s="371"/>
      <c r="AF72" s="416" t="s">
        <v>269</v>
      </c>
      <c r="AG72" s="417"/>
      <c r="AH72" s="455">
        <v>0.03</v>
      </c>
    </row>
    <row r="73" spans="1:24" ht="11.25">
      <c r="A73" s="130"/>
      <c r="B73" s="24"/>
      <c r="Q73" s="148"/>
      <c r="R73" s="37"/>
      <c r="S73" s="4"/>
      <c r="T73" s="130"/>
      <c r="V73" s="378"/>
      <c r="W73" s="379"/>
      <c r="X73" s="154"/>
    </row>
    <row r="74" spans="1:28" ht="11.25">
      <c r="A74" s="130"/>
      <c r="B74" s="24"/>
      <c r="Q74" s="148"/>
      <c r="R74" s="37"/>
      <c r="S74" s="8"/>
      <c r="T74" s="8"/>
      <c r="U74" s="372" t="s">
        <v>254</v>
      </c>
      <c r="V74" s="378"/>
      <c r="W74" s="379"/>
      <c r="X74" s="154"/>
      <c r="AB74" s="167"/>
    </row>
    <row r="75" spans="1:24" ht="11.25">
      <c r="A75" s="130"/>
      <c r="B75" s="24"/>
      <c r="Q75" s="148"/>
      <c r="R75" s="37"/>
      <c r="S75" s="8"/>
      <c r="T75" s="8"/>
      <c r="U75" s="373">
        <v>0.045</v>
      </c>
      <c r="V75" s="378"/>
      <c r="W75" s="379"/>
      <c r="X75" s="154"/>
    </row>
    <row r="76" spans="1:31" ht="11.25">
      <c r="A76" s="130"/>
      <c r="B76" s="24"/>
      <c r="Q76" s="148"/>
      <c r="R76" s="37"/>
      <c r="S76" s="8"/>
      <c r="T76" s="8"/>
      <c r="U76" s="130"/>
      <c r="V76" s="378"/>
      <c r="W76" s="379"/>
      <c r="X76" s="37"/>
      <c r="AE76" s="256"/>
    </row>
    <row r="77" spans="1:34" ht="11.25">
      <c r="A77" s="130"/>
      <c r="B77" s="24"/>
      <c r="Q77" s="148"/>
      <c r="R77" s="37"/>
      <c r="S77" s="8"/>
      <c r="T77" s="8"/>
      <c r="U77" s="130"/>
      <c r="V77" s="378"/>
      <c r="W77" s="379"/>
      <c r="X77" s="37"/>
      <c r="AE77" s="256"/>
      <c r="AF77" s="30"/>
      <c r="AG77" s="37"/>
      <c r="AH77" s="37"/>
    </row>
    <row r="78" spans="1:33" ht="11.25">
      <c r="A78" s="130"/>
      <c r="B78" s="24"/>
      <c r="Q78" s="148"/>
      <c r="R78" s="37"/>
      <c r="S78" s="8"/>
      <c r="T78" s="8"/>
      <c r="U78" s="130"/>
      <c r="V78" s="130"/>
      <c r="W78" s="130"/>
      <c r="X78" s="37"/>
      <c r="AE78" s="166"/>
      <c r="AG78" s="37"/>
    </row>
    <row r="79" spans="1:32" ht="11.25">
      <c r="A79" s="130"/>
      <c r="B79" s="24"/>
      <c r="Q79" s="148"/>
      <c r="R79" s="37"/>
      <c r="S79" s="8"/>
      <c r="T79" s="8"/>
      <c r="U79" s="8"/>
      <c r="V79" s="8"/>
      <c r="W79" s="8"/>
      <c r="X79" s="8"/>
      <c r="Y79" s="2"/>
      <c r="AF79" s="2"/>
    </row>
    <row r="80" spans="1:32" ht="11.25">
      <c r="A80" s="130"/>
      <c r="B80" s="24"/>
      <c r="Q80" s="148"/>
      <c r="R80" s="37"/>
      <c r="S80" s="8"/>
      <c r="T80" s="8"/>
      <c r="U80" s="8"/>
      <c r="V80" s="8"/>
      <c r="W80" s="8"/>
      <c r="X80" s="8"/>
      <c r="Y80" s="37"/>
      <c r="AD80" s="30"/>
      <c r="AF80" s="2"/>
    </row>
    <row r="81" spans="1:32" ht="11.25">
      <c r="A81" s="130"/>
      <c r="B81" s="24"/>
      <c r="Q81" s="148"/>
      <c r="R81" s="8"/>
      <c r="S81" s="8"/>
      <c r="T81" s="8"/>
      <c r="U81" s="8"/>
      <c r="V81" s="8"/>
      <c r="W81" s="8"/>
      <c r="X81" s="8"/>
      <c r="Y81" s="2"/>
      <c r="AF81" s="2"/>
    </row>
    <row r="82" spans="1:32" ht="11.25">
      <c r="A82" s="130"/>
      <c r="B82" s="24"/>
      <c r="Q82" s="148"/>
      <c r="R82" s="8"/>
      <c r="S82" s="8"/>
      <c r="T82" s="375"/>
      <c r="U82" s="130"/>
      <c r="V82" s="154"/>
      <c r="W82" s="376"/>
      <c r="X82" s="37"/>
      <c r="Y82" s="37"/>
      <c r="AA82" s="168"/>
      <c r="AD82" s="30"/>
      <c r="AF82" s="2"/>
    </row>
    <row r="83" spans="1:32" ht="11.25">
      <c r="A83" s="130"/>
      <c r="B83" s="24"/>
      <c r="Q83" s="148"/>
      <c r="R83" s="8"/>
      <c r="S83" s="8"/>
      <c r="T83" s="375"/>
      <c r="U83" s="130"/>
      <c r="V83" s="317"/>
      <c r="W83" s="318" t="s">
        <v>118</v>
      </c>
      <c r="X83" s="319"/>
      <c r="Y83" s="319" t="s">
        <v>7</v>
      </c>
      <c r="Z83" s="319"/>
      <c r="AA83" s="319" t="s">
        <v>64</v>
      </c>
      <c r="AB83" s="319"/>
      <c r="AC83" s="319" t="s">
        <v>63</v>
      </c>
      <c r="AD83" s="319"/>
      <c r="AE83" s="320"/>
      <c r="AF83" s="2"/>
    </row>
    <row r="84" spans="1:32" ht="11.25">
      <c r="A84" s="130"/>
      <c r="B84" s="24"/>
      <c r="Q84" s="148"/>
      <c r="S84" s="8"/>
      <c r="T84" s="375"/>
      <c r="U84" s="130"/>
      <c r="V84" s="321" t="s">
        <v>117</v>
      </c>
      <c r="W84" s="322">
        <f>_xlfn.IFERROR(IF($Y$41=3,D21,D21*X39),0)</f>
        <v>0</v>
      </c>
      <c r="X84" s="323"/>
      <c r="Y84" s="322">
        <f>W84/1000*VLOOKUP(U62,S63:Z66,5,0)</f>
        <v>0</v>
      </c>
      <c r="Z84" s="323"/>
      <c r="AA84" s="324">
        <f>_xlfn.IFERROR(IF($Y$41=3,D21/X39,D21),0)</f>
        <v>0</v>
      </c>
      <c r="AB84" s="323"/>
      <c r="AC84" s="322">
        <f>W84/1000*VLOOKUP(U62,S63:Z66,5,0)/$AC$39</f>
        <v>0</v>
      </c>
      <c r="AD84" s="325">
        <f>$Y$39</f>
        <v>10000</v>
      </c>
      <c r="AE84" s="326">
        <f>MAX(AC84:AD84)</f>
        <v>10000</v>
      </c>
      <c r="AF84" s="2"/>
    </row>
    <row r="85" spans="1:32" ht="12.75">
      <c r="A85" s="130"/>
      <c r="B85" s="149"/>
      <c r="Q85" s="148"/>
      <c r="S85" s="8"/>
      <c r="T85" s="375"/>
      <c r="U85" s="130"/>
      <c r="V85" s="321" t="s">
        <v>20</v>
      </c>
      <c r="W85" s="322">
        <f>_xlfn.IFERROR(Y85/(VLOOKUP(U62,S63:Z66,5,0)/1000),0)</f>
        <v>0</v>
      </c>
      <c r="X85" s="323"/>
      <c r="Y85" s="322">
        <f>_xlfn.IFERROR(D21*AC39,0)</f>
        <v>0</v>
      </c>
      <c r="Z85" s="323"/>
      <c r="AA85" s="327">
        <f>W85/$X$39</f>
        <v>0</v>
      </c>
      <c r="AB85" s="323"/>
      <c r="AC85" s="327">
        <f>D21</f>
        <v>0</v>
      </c>
      <c r="AD85" s="325">
        <f>$Y$39</f>
        <v>10000</v>
      </c>
      <c r="AE85" s="326">
        <f>MAX(AC85:AD85)</f>
        <v>10000</v>
      </c>
      <c r="AF85" s="2"/>
    </row>
    <row r="86" spans="1:32" ht="12.75">
      <c r="A86" s="130"/>
      <c r="B86" s="149"/>
      <c r="Q86" s="148"/>
      <c r="S86" s="8"/>
      <c r="T86" s="375"/>
      <c r="U86" s="130"/>
      <c r="V86" s="328"/>
      <c r="W86" s="323"/>
      <c r="X86" s="323"/>
      <c r="Y86" s="322"/>
      <c r="Z86" s="323"/>
      <c r="AA86" s="327"/>
      <c r="AB86" s="323"/>
      <c r="AC86" s="322"/>
      <c r="AD86" s="325"/>
      <c r="AE86" s="326"/>
      <c r="AF86" s="2"/>
    </row>
    <row r="87" spans="1:32" ht="12.75" customHeight="1">
      <c r="A87" s="130"/>
      <c r="B87" s="149"/>
      <c r="Q87" s="148"/>
      <c r="R87" s="8"/>
      <c r="S87" s="8"/>
      <c r="T87" s="375"/>
      <c r="U87" s="130"/>
      <c r="V87" s="328"/>
      <c r="W87" s="323"/>
      <c r="X87" s="323"/>
      <c r="Y87" s="323"/>
      <c r="Z87" s="323"/>
      <c r="AA87" s="323"/>
      <c r="AB87" s="323"/>
      <c r="AC87" s="323"/>
      <c r="AD87" s="323"/>
      <c r="AE87" s="329"/>
      <c r="AF87" s="2"/>
    </row>
    <row r="88" spans="1:32" ht="12.75">
      <c r="A88" s="130"/>
      <c r="B88" s="149"/>
      <c r="Q88" s="148"/>
      <c r="R88" s="8"/>
      <c r="S88" s="8"/>
      <c r="T88" s="375"/>
      <c r="U88" s="130"/>
      <c r="V88" s="330" t="s">
        <v>120</v>
      </c>
      <c r="W88" s="331">
        <f>IF(OR($Y$41=1,$Y$41=3),W84,W85)</f>
        <v>0</v>
      </c>
      <c r="X88" s="332"/>
      <c r="Y88" s="332"/>
      <c r="Z88" s="332"/>
      <c r="AA88" s="333">
        <f>IF(OR($Y$41=1,$Y$41=3),AA84,AA85)</f>
        <v>0</v>
      </c>
      <c r="AB88" s="332"/>
      <c r="AC88" s="332"/>
      <c r="AD88" s="332"/>
      <c r="AE88" s="334">
        <f>IF($Y$41=1,AE84,AE85)</f>
        <v>10000</v>
      </c>
      <c r="AF88" s="2"/>
    </row>
    <row r="89" spans="1:32" ht="15.75" customHeight="1">
      <c r="A89" s="130"/>
      <c r="B89" s="149"/>
      <c r="Q89" s="148"/>
      <c r="R89" s="8"/>
      <c r="S89" s="8"/>
      <c r="T89" s="375"/>
      <c r="U89" s="130"/>
      <c r="V89" s="154"/>
      <c r="W89" s="377"/>
      <c r="X89" s="154"/>
      <c r="Y89" s="154"/>
      <c r="Z89" s="154"/>
      <c r="AA89" s="377"/>
      <c r="AB89" s="154"/>
      <c r="AC89" s="154"/>
      <c r="AD89" s="154"/>
      <c r="AE89" s="377"/>
      <c r="AF89" s="2"/>
    </row>
    <row r="90" spans="1:25" ht="12.75">
      <c r="A90" s="130"/>
      <c r="B90" s="149"/>
      <c r="Q90" s="148"/>
      <c r="R90" s="8"/>
      <c r="X90" s="37"/>
      <c r="Y90" s="37"/>
    </row>
    <row r="91" spans="1:25" ht="11.25">
      <c r="A91" s="130"/>
      <c r="B91" s="24"/>
      <c r="Q91" s="148"/>
      <c r="R91" s="8"/>
      <c r="S91" s="380" t="s">
        <v>112</v>
      </c>
      <c r="T91" s="381"/>
      <c r="U91" s="381"/>
      <c r="V91" s="410"/>
      <c r="X91" s="37"/>
      <c r="Y91" s="37"/>
    </row>
    <row r="92" spans="1:25" ht="11.25">
      <c r="A92" s="130"/>
      <c r="B92" s="24"/>
      <c r="Q92" s="148"/>
      <c r="R92" s="8"/>
      <c r="S92" s="382" t="s">
        <v>1</v>
      </c>
      <c r="T92" s="382" t="s">
        <v>2</v>
      </c>
      <c r="U92" s="382" t="s">
        <v>3</v>
      </c>
      <c r="V92" s="411" t="s">
        <v>265</v>
      </c>
      <c r="X92" s="37"/>
      <c r="Y92" s="37"/>
    </row>
    <row r="93" spans="1:24" ht="12.75" customHeight="1">
      <c r="A93" s="130"/>
      <c r="B93" s="24"/>
      <c r="Q93" s="148"/>
      <c r="R93" s="8"/>
      <c r="S93" s="450">
        <v>0.01</v>
      </c>
      <c r="T93" s="450">
        <v>500000</v>
      </c>
      <c r="U93" s="450">
        <v>1900</v>
      </c>
      <c r="V93" s="412">
        <v>1253</v>
      </c>
      <c r="X93" s="37"/>
    </row>
    <row r="94" spans="1:24" ht="11.25">
      <c r="A94" s="130"/>
      <c r="B94" s="24"/>
      <c r="Q94" s="148"/>
      <c r="R94" s="8"/>
      <c r="S94" s="450">
        <v>500001</v>
      </c>
      <c r="T94" s="450">
        <v>1000000</v>
      </c>
      <c r="U94" s="450">
        <v>3300</v>
      </c>
      <c r="V94" s="412">
        <v>1740</v>
      </c>
      <c r="X94" s="37"/>
    </row>
    <row r="95" spans="1:24" ht="12.75" customHeight="1">
      <c r="A95" s="130"/>
      <c r="B95" s="24"/>
      <c r="Q95" s="148"/>
      <c r="R95" s="8"/>
      <c r="S95" s="450">
        <v>1000001</v>
      </c>
      <c r="T95" s="450">
        <v>1500000</v>
      </c>
      <c r="U95" s="450">
        <v>4500</v>
      </c>
      <c r="V95" s="412">
        <v>2784</v>
      </c>
      <c r="X95" s="37"/>
    </row>
    <row r="96" spans="1:24" ht="12.75" customHeight="1">
      <c r="A96" s="130"/>
      <c r="B96" s="24"/>
      <c r="Q96" s="148"/>
      <c r="R96" s="8"/>
      <c r="S96" s="450">
        <v>1500001</v>
      </c>
      <c r="T96" s="450">
        <v>2000000</v>
      </c>
      <c r="U96" s="450">
        <v>5750</v>
      </c>
      <c r="V96" s="412">
        <v>2784</v>
      </c>
      <c r="X96" s="37"/>
    </row>
    <row r="97" spans="1:24" ht="12.75" customHeight="1">
      <c r="A97" s="130"/>
      <c r="B97" s="24"/>
      <c r="Q97" s="148"/>
      <c r="R97" s="9"/>
      <c r="S97" s="450">
        <v>2000001</v>
      </c>
      <c r="T97" s="450">
        <v>2500000</v>
      </c>
      <c r="U97" s="450">
        <v>7000</v>
      </c>
      <c r="V97" s="412">
        <v>4663</v>
      </c>
      <c r="X97" s="37"/>
    </row>
    <row r="98" spans="2:24" ht="11.25">
      <c r="B98" s="24"/>
      <c r="C98" s="32"/>
      <c r="D98" s="32"/>
      <c r="E98" s="32"/>
      <c r="F98" s="32"/>
      <c r="G98" s="32"/>
      <c r="H98" s="32"/>
      <c r="I98" s="32"/>
      <c r="J98" s="32"/>
      <c r="K98" s="32"/>
      <c r="L98" s="32"/>
      <c r="M98" s="8"/>
      <c r="N98" s="8"/>
      <c r="O98" s="8"/>
      <c r="P98" s="8"/>
      <c r="R98" s="8"/>
      <c r="S98" s="450">
        <v>2500001</v>
      </c>
      <c r="T98" s="450">
        <v>3000000</v>
      </c>
      <c r="U98" s="450">
        <v>8200</v>
      </c>
      <c r="V98" s="412">
        <v>4663</v>
      </c>
      <c r="X98" s="37"/>
    </row>
    <row r="99" spans="2:24" ht="25.5" customHeight="1">
      <c r="B99" s="24"/>
      <c r="C99" s="32"/>
      <c r="D99" s="32"/>
      <c r="E99" s="32"/>
      <c r="F99" s="32"/>
      <c r="G99" s="32"/>
      <c r="H99" s="32"/>
      <c r="I99" s="32"/>
      <c r="J99" s="32"/>
      <c r="K99" s="32"/>
      <c r="L99" s="32"/>
      <c r="M99" s="8"/>
      <c r="N99" s="8"/>
      <c r="O99" s="8"/>
      <c r="P99" s="8"/>
      <c r="Q99" s="8"/>
      <c r="R99" s="2"/>
      <c r="S99" s="450">
        <v>3000001</v>
      </c>
      <c r="T99" s="450">
        <v>4000000</v>
      </c>
      <c r="U99" s="450">
        <v>11000</v>
      </c>
      <c r="V99" s="412">
        <v>5000</v>
      </c>
      <c r="X99" s="37"/>
    </row>
    <row r="100" spans="2:24" ht="12.75">
      <c r="B100" s="24"/>
      <c r="C100" s="32"/>
      <c r="D100" s="32"/>
      <c r="E100" s="32"/>
      <c r="F100" s="32"/>
      <c r="G100" s="32"/>
      <c r="H100" s="32"/>
      <c r="I100" s="32"/>
      <c r="J100" s="32"/>
      <c r="K100" s="32"/>
      <c r="L100" s="32"/>
      <c r="M100" s="8"/>
      <c r="N100" s="8"/>
      <c r="O100" s="8"/>
      <c r="P100" s="8"/>
      <c r="Q100" s="8"/>
      <c r="R100" s="34"/>
      <c r="S100" s="450">
        <v>4000001</v>
      </c>
      <c r="T100" s="450">
        <v>5000000</v>
      </c>
      <c r="U100" s="450">
        <v>13900</v>
      </c>
      <c r="V100" s="412">
        <v>5000</v>
      </c>
      <c r="X100" s="37"/>
    </row>
    <row r="101" spans="2:24" ht="12.75">
      <c r="B101" s="24"/>
      <c r="C101" s="32"/>
      <c r="D101" s="32"/>
      <c r="E101" s="32"/>
      <c r="F101" s="32"/>
      <c r="G101" s="32"/>
      <c r="H101" s="32"/>
      <c r="I101" s="32"/>
      <c r="J101" s="32"/>
      <c r="K101" s="32"/>
      <c r="L101" s="32"/>
      <c r="M101" s="8"/>
      <c r="N101" s="8"/>
      <c r="O101" s="8"/>
      <c r="P101" s="8"/>
      <c r="Q101" s="8"/>
      <c r="R101" s="34"/>
      <c r="S101" s="450">
        <v>5000001</v>
      </c>
      <c r="T101" s="450">
        <v>6000000</v>
      </c>
      <c r="U101" s="450">
        <v>15500</v>
      </c>
      <c r="V101" s="412">
        <v>5000</v>
      </c>
      <c r="X101" s="37"/>
    </row>
    <row r="102" spans="2:24" ht="12.75">
      <c r="B102" s="24"/>
      <c r="C102" s="32"/>
      <c r="D102" s="32"/>
      <c r="E102" s="32"/>
      <c r="F102" s="32"/>
      <c r="G102" s="32"/>
      <c r="H102" s="32"/>
      <c r="I102" s="32"/>
      <c r="J102" s="32"/>
      <c r="K102" s="32"/>
      <c r="L102" s="32"/>
      <c r="M102" s="8"/>
      <c r="N102" s="8"/>
      <c r="O102" s="8"/>
      <c r="P102" s="8"/>
      <c r="Q102" s="8"/>
      <c r="R102" s="34"/>
      <c r="S102" s="450">
        <v>6000001</v>
      </c>
      <c r="T102" s="450">
        <v>7000000</v>
      </c>
      <c r="U102" s="450">
        <v>19000</v>
      </c>
      <c r="V102" s="412">
        <v>5000</v>
      </c>
      <c r="X102" s="37"/>
    </row>
    <row r="103" spans="2:24" ht="12.75">
      <c r="B103" s="24"/>
      <c r="C103" s="32"/>
      <c r="D103" s="32"/>
      <c r="E103" s="32"/>
      <c r="F103" s="32"/>
      <c r="G103" s="32"/>
      <c r="H103" s="32"/>
      <c r="I103" s="32"/>
      <c r="J103" s="32"/>
      <c r="K103" s="32"/>
      <c r="L103" s="32"/>
      <c r="M103" s="8"/>
      <c r="N103" s="8"/>
      <c r="O103" s="8"/>
      <c r="P103" s="8"/>
      <c r="Q103" s="8"/>
      <c r="R103" s="34"/>
      <c r="S103" s="450">
        <v>7000001</v>
      </c>
      <c r="T103" s="450">
        <v>8000000</v>
      </c>
      <c r="U103" s="450">
        <v>20000</v>
      </c>
      <c r="V103" s="412">
        <v>5000</v>
      </c>
      <c r="W103" s="154"/>
      <c r="X103" s="37"/>
    </row>
    <row r="104" spans="2:25" ht="12.75">
      <c r="B104" s="24"/>
      <c r="C104" s="7"/>
      <c r="D104" s="7"/>
      <c r="E104" s="7"/>
      <c r="F104" s="7"/>
      <c r="G104" s="7"/>
      <c r="H104" s="7"/>
      <c r="I104" s="7"/>
      <c r="J104" s="8"/>
      <c r="K104" s="8"/>
      <c r="L104" s="8"/>
      <c r="M104" s="8"/>
      <c r="N104" s="8"/>
      <c r="O104" s="8"/>
      <c r="P104" s="8"/>
      <c r="Q104" s="8"/>
      <c r="R104" s="34"/>
      <c r="S104" s="450">
        <v>8000001</v>
      </c>
      <c r="T104" s="450">
        <v>9000000</v>
      </c>
      <c r="U104" s="450">
        <v>20100</v>
      </c>
      <c r="V104" s="412">
        <v>5000</v>
      </c>
      <c r="W104" s="154"/>
      <c r="X104" s="37"/>
      <c r="Y104" s="37"/>
    </row>
    <row r="105" spans="2:25" ht="12.75">
      <c r="B105" s="24"/>
      <c r="C105" s="35"/>
      <c r="D105" s="35"/>
      <c r="E105" s="35"/>
      <c r="F105" s="10"/>
      <c r="G105" s="10"/>
      <c r="H105" s="10"/>
      <c r="I105" s="36"/>
      <c r="J105" s="24"/>
      <c r="K105" s="24"/>
      <c r="L105" s="24"/>
      <c r="M105" s="8"/>
      <c r="N105" s="8"/>
      <c r="O105" s="8"/>
      <c r="P105" s="8"/>
      <c r="Q105" s="8"/>
      <c r="R105" s="34"/>
      <c r="S105" s="450">
        <v>9000001</v>
      </c>
      <c r="T105" s="450">
        <v>10000000</v>
      </c>
      <c r="U105" s="450">
        <v>22500</v>
      </c>
      <c r="V105" s="412">
        <v>5000</v>
      </c>
      <c r="W105" s="154"/>
      <c r="X105" s="37"/>
      <c r="Y105" s="37"/>
    </row>
    <row r="106" spans="18:22" ht="12.75">
      <c r="R106" s="34"/>
      <c r="S106" s="450">
        <v>10000001</v>
      </c>
      <c r="T106" s="450">
        <v>11000000</v>
      </c>
      <c r="U106" s="450">
        <v>27000</v>
      </c>
      <c r="V106" s="412">
        <v>5000</v>
      </c>
    </row>
    <row r="107" spans="18:22" ht="12.75">
      <c r="R107" s="34"/>
      <c r="S107" s="450">
        <v>11000001</v>
      </c>
      <c r="T107" s="450">
        <v>12000000</v>
      </c>
      <c r="U107" s="450">
        <v>28000</v>
      </c>
      <c r="V107" s="412">
        <v>5000</v>
      </c>
    </row>
    <row r="108" spans="19:22" ht="11.25">
      <c r="S108" s="450">
        <v>12000001</v>
      </c>
      <c r="T108" s="450">
        <v>13000000</v>
      </c>
      <c r="U108" s="450">
        <v>30000</v>
      </c>
      <c r="V108" s="412">
        <v>5000</v>
      </c>
    </row>
    <row r="109" spans="19:22" ht="11.25">
      <c r="S109" s="450">
        <v>13000001</v>
      </c>
      <c r="T109" s="450">
        <v>14000000</v>
      </c>
      <c r="U109" s="450">
        <v>32000</v>
      </c>
      <c r="V109" s="412">
        <v>5000</v>
      </c>
    </row>
    <row r="110" spans="19:22" ht="11.25">
      <c r="S110" s="450">
        <v>14000001</v>
      </c>
      <c r="T110" s="450">
        <v>15000000</v>
      </c>
      <c r="U110" s="450">
        <v>34000</v>
      </c>
      <c r="V110" s="412">
        <v>5000</v>
      </c>
    </row>
    <row r="111" spans="19:22" ht="11.25">
      <c r="S111" s="450">
        <v>15000001</v>
      </c>
      <c r="T111" s="450">
        <v>20000000</v>
      </c>
      <c r="U111" s="450">
        <v>37000</v>
      </c>
      <c r="V111" s="412">
        <v>5000</v>
      </c>
    </row>
    <row r="112" spans="19:22" ht="11.25">
      <c r="S112" s="450">
        <v>20000001</v>
      </c>
      <c r="T112" s="450">
        <v>25000000</v>
      </c>
      <c r="U112" s="450">
        <v>39000</v>
      </c>
      <c r="V112" s="412">
        <v>5000</v>
      </c>
    </row>
    <row r="113" spans="19:22" ht="11.25">
      <c r="S113" s="450">
        <v>25000001</v>
      </c>
      <c r="T113" s="450">
        <v>30000000</v>
      </c>
      <c r="U113" s="450">
        <v>40000</v>
      </c>
      <c r="V113" s="412">
        <v>5000</v>
      </c>
    </row>
    <row r="114" spans="19:22" ht="11.25">
      <c r="S114" s="450">
        <v>30000001</v>
      </c>
      <c r="T114" s="465">
        <v>30000000</v>
      </c>
      <c r="U114" s="465">
        <v>40000</v>
      </c>
      <c r="V114" s="466">
        <v>5000</v>
      </c>
    </row>
    <row r="133" ht="11.25"/>
    <row r="134" ht="11.25"/>
    <row r="135" ht="11.25"/>
    <row r="136" ht="11.25"/>
  </sheetData>
  <sheetProtection password="FBFD" sheet="1" objects="1" scenarios="1"/>
  <mergeCells count="16">
    <mergeCell ref="C57:N57"/>
    <mergeCell ref="G26:H26"/>
    <mergeCell ref="Y63:Y66"/>
    <mergeCell ref="X63:X66"/>
    <mergeCell ref="S4:AA4"/>
    <mergeCell ref="S17:AA17"/>
    <mergeCell ref="G28:H28"/>
    <mergeCell ref="G29:H29"/>
    <mergeCell ref="C3:P3"/>
    <mergeCell ref="C5:P5"/>
    <mergeCell ref="C12:F12"/>
    <mergeCell ref="I18:L18"/>
    <mergeCell ref="K25:N25"/>
    <mergeCell ref="C15:F15"/>
    <mergeCell ref="C6:P6"/>
    <mergeCell ref="K12:N12"/>
  </mergeCells>
  <conditionalFormatting sqref="I26:I27 D23">
    <cfRule type="expression" priority="73" dxfId="27" stopIfTrue="1">
      <formula>$I$25&lt;$I$26</formula>
    </cfRule>
  </conditionalFormatting>
  <conditionalFormatting sqref="C39:D39 C45:D45">
    <cfRule type="expression" priority="161" dxfId="28" stopIfTrue="1">
      <formula>$U$39=3</formula>
    </cfRule>
  </conditionalFormatting>
  <conditionalFormatting sqref="B35:B39 E36:E39 B41:B45 E42:E45">
    <cfRule type="expression" priority="163" dxfId="29" stopIfTrue="1">
      <formula>$U$39=3</formula>
    </cfRule>
  </conditionalFormatting>
  <conditionalFormatting sqref="E39 E45">
    <cfRule type="expression" priority="167" dxfId="30" stopIfTrue="1">
      <formula>$U$39=3</formula>
    </cfRule>
  </conditionalFormatting>
  <conditionalFormatting sqref="C39 C45">
    <cfRule type="expression" priority="169" dxfId="31" stopIfTrue="1">
      <formula>$U$39=3</formula>
    </cfRule>
  </conditionalFormatting>
  <conditionalFormatting sqref="C35:D35 C41:D41">
    <cfRule type="expression" priority="171" dxfId="32" stopIfTrue="1">
      <formula>$U$39=3</formula>
    </cfRule>
  </conditionalFormatting>
  <conditionalFormatting sqref="E35 E41">
    <cfRule type="expression" priority="173" dxfId="33" stopIfTrue="1">
      <formula>$U$39=3</formula>
    </cfRule>
  </conditionalFormatting>
  <conditionalFormatting sqref="D36 D42 D38">
    <cfRule type="expression" priority="179" dxfId="2" stopIfTrue="1">
      <formula>$U$39=3</formula>
    </cfRule>
  </conditionalFormatting>
  <conditionalFormatting sqref="D24">
    <cfRule type="expression" priority="181" dxfId="2" stopIfTrue="1">
      <formula>OR($U$39=2,$U$39=7)</formula>
    </cfRule>
  </conditionalFormatting>
  <conditionalFormatting sqref="E24">
    <cfRule type="expression" priority="185" dxfId="18" stopIfTrue="1">
      <formula>$Y$41=2</formula>
    </cfRule>
  </conditionalFormatting>
  <conditionalFormatting sqref="C23">
    <cfRule type="containsText" priority="42" dxfId="15" operator="containsText" stopIfTrue="1" text="mínimo">
      <formula>NOT(ISERROR(SEARCH("mínimo",C23)))</formula>
    </cfRule>
  </conditionalFormatting>
  <conditionalFormatting sqref="J25">
    <cfRule type="containsText" priority="41" dxfId="15" operator="containsText" stopIfTrue="1" text="máximo">
      <formula>NOT(ISERROR(SEARCH("máximo",J25)))</formula>
    </cfRule>
  </conditionalFormatting>
  <conditionalFormatting sqref="G26:H27">
    <cfRule type="containsText" priority="36" dxfId="15" operator="containsText" stopIfTrue="1" text="fuera">
      <formula>NOT(ISERROR(SEARCH("fuera",G26)))</formula>
    </cfRule>
  </conditionalFormatting>
  <conditionalFormatting sqref="N28">
    <cfRule type="expression" priority="30" dxfId="34" stopIfTrue="1">
      <formula>$M$28=0</formula>
    </cfRule>
  </conditionalFormatting>
  <conditionalFormatting sqref="D44">
    <cfRule type="expression" priority="24" dxfId="2" stopIfTrue="1">
      <formula>$U$39=3</formula>
    </cfRule>
  </conditionalFormatting>
  <conditionalFormatting sqref="N29">
    <cfRule type="expression" priority="23" dxfId="34" stopIfTrue="1">
      <formula>$M29=0</formula>
    </cfRule>
  </conditionalFormatting>
  <conditionalFormatting sqref="D22">
    <cfRule type="cellIs" priority="19" dxfId="1" operator="lessThanOrEqual" stopIfTrue="1">
      <formula>0</formula>
    </cfRule>
    <cfRule type="expression" priority="20" dxfId="0" stopIfTrue="1">
      <formula>"$Y$42=3"</formula>
    </cfRule>
  </conditionalFormatting>
  <conditionalFormatting sqref="I25">
    <cfRule type="cellIs" priority="18" dxfId="1" operator="lessThanOrEqual" stopIfTrue="1">
      <formula>0</formula>
    </cfRule>
  </conditionalFormatting>
  <conditionalFormatting sqref="D34">
    <cfRule type="cellIs" priority="12" dxfId="1" operator="lessThanOrEqual" stopIfTrue="1">
      <formula>0</formula>
    </cfRule>
    <cfRule type="expression" priority="13" dxfId="0">
      <formula>"$Y$42=3"</formula>
    </cfRule>
  </conditionalFormatting>
  <conditionalFormatting sqref="C33">
    <cfRule type="expression" priority="11" dxfId="6" stopIfTrue="1">
      <formula>$U$30=1</formula>
    </cfRule>
  </conditionalFormatting>
  <conditionalFormatting sqref="D26">
    <cfRule type="expression" priority="10" dxfId="5">
      <formula>$U$62&gt;=2</formula>
    </cfRule>
  </conditionalFormatting>
  <conditionalFormatting sqref="I28">
    <cfRule type="expression" priority="3" dxfId="2" stopIfTrue="1">
      <formula>$G$28&lt;&gt;""</formula>
    </cfRule>
    <cfRule type="expression" priority="4" dxfId="0" stopIfTrue="1">
      <formula>$G$27=""</formula>
    </cfRule>
    <cfRule type="expression" priority="5" dxfId="2" stopIfTrue="1">
      <formula>$G$27&lt;&gt;""</formula>
    </cfRule>
  </conditionalFormatting>
  <conditionalFormatting sqref="D21">
    <cfRule type="cellIs" priority="1" dxfId="1" operator="lessThanOrEqual" stopIfTrue="1">
      <formula>0</formula>
    </cfRule>
    <cfRule type="expression" priority="2" dxfId="0" stopIfTrue="1">
      <formula>"$Y$42=3"</formula>
    </cfRule>
  </conditionalFormatting>
  <dataValidations count="5">
    <dataValidation allowBlank="1" showInputMessage="1" showErrorMessage="1" prompt="Aquí puede capturar el monto del crédito que desee." sqref="I25"/>
    <dataValidation allowBlank="1" showInputMessage="1" showErrorMessage="1" prompt="VALOR CONSTRUCCION + INSTALACIONES ESPECIALES" sqref="D22"/>
    <dataValidation type="decimal" operator="lessThanOrEqual" allowBlank="1" showInputMessage="1" showErrorMessage="1" prompt="Porcentaje pactado por promoción&#10;&quot;Diferente a la política&quot;" errorTitle="Revisa la Comisión" error="Debes ingresar la comosión como:&#10;.00XX" sqref="D34">
      <formula1>0.5</formula1>
    </dataValidation>
    <dataValidation type="list" allowBlank="1" showInputMessage="1" showErrorMessage="1" sqref="I28">
      <formula1>$AI$3:$AI$4</formula1>
    </dataValidation>
    <dataValidation allowBlank="1" showInputMessage="1" showErrorMessage="1" prompt="Aquí debes capturar el Crédito Neto (Anexo B) cuando se tenga el dato" sqref="D38 D44"/>
  </dataValidations>
  <printOptions horizontalCentered="1" verticalCentered="1"/>
  <pageMargins left="0" right="0" top="0" bottom="0" header="0" footer="0"/>
  <pageSetup fitToHeight="1" fitToWidth="1" horizontalDpi="600" verticalDpi="600" orientation="landscape" scale="68" r:id="rId4"/>
  <drawing r:id="rId3"/>
  <legacyDrawing r:id="rId2"/>
</worksheet>
</file>

<file path=xl/worksheets/sheet2.xml><?xml version="1.0" encoding="utf-8"?>
<worksheet xmlns="http://schemas.openxmlformats.org/spreadsheetml/2006/main" xmlns:r="http://schemas.openxmlformats.org/officeDocument/2006/relationships">
  <sheetPr codeName="Hoja3"/>
  <dimension ref="A1:BD258"/>
  <sheetViews>
    <sheetView showGridLines="0" showRowColHeaders="0" zoomScale="90" zoomScaleNormal="90" zoomScaleSheetLayoutView="100" zoomScalePageLayoutView="0" workbookViewId="0" topLeftCell="A1">
      <selection activeCell="Y256" sqref="Y256"/>
    </sheetView>
  </sheetViews>
  <sheetFormatPr defaultColWidth="11.421875" defaultRowHeight="12.75"/>
  <cols>
    <col min="1" max="1" width="8.8515625" style="27" customWidth="1"/>
    <col min="2" max="2" width="12.421875" style="27" customWidth="1"/>
    <col min="3" max="3" width="1.1484375" style="27" customWidth="1"/>
    <col min="4" max="4" width="11.57421875" style="27" customWidth="1"/>
    <col min="5" max="5" width="1.1484375" style="27" customWidth="1"/>
    <col min="6" max="6" width="11.57421875" style="27" customWidth="1"/>
    <col min="7" max="7" width="1.1484375" style="27" customWidth="1"/>
    <col min="8" max="8" width="11.57421875" style="27" customWidth="1"/>
    <col min="9" max="9" width="1.1484375" style="27" customWidth="1"/>
    <col min="10" max="10" width="11.57421875" style="27" customWidth="1"/>
    <col min="11" max="11" width="1.1484375" style="27" customWidth="1"/>
    <col min="12" max="12" width="12.8515625" style="27" customWidth="1"/>
    <col min="13" max="13" width="1.57421875" style="27" customWidth="1"/>
    <col min="14" max="14" width="12.140625" style="27" customWidth="1"/>
    <col min="15" max="15" width="1.57421875" style="27" customWidth="1"/>
    <col min="16" max="16" width="8.8515625" style="27" customWidth="1"/>
    <col min="17" max="17" width="1.1484375" style="27" customWidth="1"/>
    <col min="18" max="18" width="13.140625" style="27" customWidth="1"/>
    <col min="19" max="19" width="1.1484375" style="27" customWidth="1"/>
    <col min="20" max="20" width="11.57421875" style="27" customWidth="1"/>
    <col min="21" max="21" width="1.57421875" style="27" customWidth="1"/>
    <col min="22" max="22" width="11.57421875" style="27" customWidth="1"/>
    <col min="23" max="23" width="2.8515625" style="27" customWidth="1"/>
    <col min="24" max="24" width="1.421875" style="27" hidden="1" customWidth="1"/>
    <col min="25" max="25" width="11.57421875" style="27" customWidth="1"/>
    <col min="26" max="26" width="1.57421875" style="27" customWidth="1"/>
    <col min="27" max="27" width="10.57421875" style="27" customWidth="1"/>
    <col min="28" max="28" width="1.421875" style="224" customWidth="1"/>
    <col min="29" max="29" width="10.57421875" style="224" customWidth="1"/>
    <col min="30" max="30" width="9.8515625" style="436" hidden="1" customWidth="1"/>
    <col min="31" max="31" width="7.140625" style="436" hidden="1" customWidth="1"/>
    <col min="32" max="32" width="8.57421875" style="436" hidden="1" customWidth="1"/>
    <col min="33" max="33" width="10.57421875" style="436" hidden="1" customWidth="1"/>
    <col min="34" max="34" width="9.140625" style="436" hidden="1" customWidth="1"/>
    <col min="35" max="35" width="13.57421875" style="436" hidden="1" customWidth="1"/>
    <col min="36" max="36" width="17.00390625" style="436" hidden="1" customWidth="1"/>
    <col min="37" max="37" width="12.8515625" style="27" hidden="1" customWidth="1"/>
    <col min="38" max="39" width="11.421875" style="27" hidden="1" customWidth="1"/>
    <col min="40" max="40" width="12.421875" style="27" hidden="1" customWidth="1"/>
    <col min="41" max="41" width="13.00390625" style="27" hidden="1" customWidth="1"/>
    <col min="42" max="43" width="11.421875" style="27" hidden="1" customWidth="1"/>
    <col min="44" max="45" width="6.421875" style="0" hidden="1" customWidth="1"/>
    <col min="46" max="46" width="10.57421875" style="547" hidden="1" customWidth="1"/>
    <col min="47" max="47" width="5.00390625" style="0" hidden="1" customWidth="1"/>
    <col min="48" max="48" width="4.140625" style="0" hidden="1" customWidth="1"/>
    <col min="49" max="49" width="8.57421875" style="0" hidden="1" customWidth="1"/>
    <col min="50" max="50" width="8.421875" style="27" hidden="1" customWidth="1"/>
    <col min="51" max="51" width="7.57421875" style="27" hidden="1" customWidth="1"/>
    <col min="52" max="52" width="7.140625" style="27" hidden="1" customWidth="1"/>
    <col min="53" max="53" width="5.421875" style="27" hidden="1" customWidth="1"/>
    <col min="54" max="54" width="10.8515625" style="27" hidden="1" customWidth="1"/>
    <col min="55" max="55" width="8.140625" style="27" hidden="1" customWidth="1"/>
    <col min="56" max="56" width="3.8515625" style="27" hidden="1" customWidth="1"/>
    <col min="57" max="57" width="12.421875" style="27" customWidth="1"/>
    <col min="58" max="58" width="11.421875" style="27" customWidth="1"/>
    <col min="59" max="16384" width="11.421875" style="27" customWidth="1"/>
  </cols>
  <sheetData>
    <row r="1" spans="1:56" ht="15.75">
      <c r="A1" s="639" t="s">
        <v>266</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302"/>
      <c r="AD1" s="207"/>
      <c r="AE1" s="207"/>
      <c r="AF1" s="207"/>
      <c r="AG1" s="207"/>
      <c r="AH1" s="207"/>
      <c r="AI1" s="207"/>
      <c r="AJ1" s="209"/>
      <c r="BD1" s="585" t="s">
        <v>326</v>
      </c>
    </row>
    <row r="2" spans="1:36" ht="16.5" thickBot="1">
      <c r="A2" s="637" t="s">
        <v>28</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302"/>
      <c r="AD2" s="207"/>
      <c r="AE2" s="207"/>
      <c r="AF2" s="207"/>
      <c r="AG2" s="207"/>
      <c r="AH2" s="207"/>
      <c r="AI2" s="207"/>
      <c r="AJ2" s="209"/>
    </row>
    <row r="3" spans="1:36" ht="15.75">
      <c r="A3" s="637" t="s">
        <v>29</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301"/>
      <c r="AD3" s="210"/>
      <c r="AE3" s="210"/>
      <c r="AF3" s="592">
        <v>2</v>
      </c>
      <c r="AG3" s="210"/>
      <c r="AH3" s="210"/>
      <c r="AI3" s="209"/>
      <c r="AJ3" s="209"/>
    </row>
    <row r="4" spans="1:36" ht="15.75">
      <c r="A4" s="638" t="s">
        <v>257</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28"/>
      <c r="AD4" s="211"/>
      <c r="AE4" s="211"/>
      <c r="AF4" s="593" t="str">
        <f>IF(Simulador!U62=1,"Disminución de plazo","")</f>
        <v>Disminución de plazo</v>
      </c>
      <c r="AG4" s="211"/>
      <c r="AH4" s="211"/>
      <c r="AI4" s="209"/>
      <c r="AJ4" s="209"/>
    </row>
    <row r="5" spans="1:36" ht="15" customHeight="1" thickBot="1">
      <c r="A5" s="486" t="s">
        <v>16</v>
      </c>
      <c r="B5" s="487"/>
      <c r="C5" s="487"/>
      <c r="D5" s="487"/>
      <c r="E5" s="487"/>
      <c r="F5" s="487"/>
      <c r="G5" s="487"/>
      <c r="H5" s="487"/>
      <c r="I5" s="487"/>
      <c r="J5" s="487"/>
      <c r="K5" s="487"/>
      <c r="L5" s="640">
        <v>44181</v>
      </c>
      <c r="M5" s="640"/>
      <c r="N5" s="640"/>
      <c r="O5" s="487"/>
      <c r="P5" s="487"/>
      <c r="Q5" s="487"/>
      <c r="R5" s="487"/>
      <c r="S5" s="487"/>
      <c r="T5" s="487"/>
      <c r="U5" s="487"/>
      <c r="V5" s="487"/>
      <c r="W5" s="487"/>
      <c r="X5" s="487"/>
      <c r="Y5" s="34"/>
      <c r="Z5" s="34"/>
      <c r="AA5" s="34"/>
      <c r="AB5" s="488"/>
      <c r="AC5" s="223"/>
      <c r="AD5" s="211"/>
      <c r="AE5" s="211"/>
      <c r="AF5" s="594" t="str">
        <f>IF(Simulador!U62=1,"Disminución de pago","")</f>
        <v>Disminución de pago</v>
      </c>
      <c r="AG5" s="211"/>
      <c r="AH5" s="211"/>
      <c r="AI5" s="209"/>
      <c r="AJ5" s="209"/>
    </row>
    <row r="6" spans="1:36" ht="12.75" customHeight="1">
      <c r="A6" s="62" t="s">
        <v>30</v>
      </c>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34"/>
      <c r="AB6" s="488"/>
      <c r="AC6" s="223"/>
      <c r="AD6" s="211"/>
      <c r="AE6" s="211"/>
      <c r="AF6" s="211"/>
      <c r="AG6" s="211"/>
      <c r="AH6" s="211"/>
      <c r="AI6" s="211"/>
      <c r="AJ6" s="209"/>
    </row>
    <row r="7" spans="1:36" ht="12.75" customHeight="1">
      <c r="A7" s="62" t="s">
        <v>252</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34"/>
      <c r="AB7" s="488"/>
      <c r="AC7" s="223"/>
      <c r="AD7" s="208" t="s">
        <v>14</v>
      </c>
      <c r="AE7" s="208"/>
      <c r="AF7" s="208"/>
      <c r="AG7" s="367">
        <f>_xlfn.IFERROR(Simulador!O32*1,0)</f>
        <v>0</v>
      </c>
      <c r="AH7" s="211"/>
      <c r="AI7" s="209"/>
      <c r="AJ7" s="209"/>
    </row>
    <row r="8" spans="1:43" ht="12.75" customHeight="1">
      <c r="A8" s="63" t="s">
        <v>26</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34"/>
      <c r="AB8" s="488"/>
      <c r="AC8" s="223"/>
      <c r="AD8" s="208" t="s">
        <v>0</v>
      </c>
      <c r="AE8" s="208"/>
      <c r="AF8" s="208"/>
      <c r="AG8" s="367">
        <f>_xlfn.IFERROR(Simulador!O31*1,0)</f>
        <v>0</v>
      </c>
      <c r="AH8" s="211"/>
      <c r="AI8" s="209"/>
      <c r="AJ8" s="209"/>
      <c r="AQ8" s="397">
        <f>AQ12*12</f>
        <v>0</v>
      </c>
    </row>
    <row r="9" spans="1:43" ht="12.75">
      <c r="A9" s="63" t="s">
        <v>27</v>
      </c>
      <c r="B9" s="34"/>
      <c r="C9" s="34"/>
      <c r="D9" s="34"/>
      <c r="E9" s="34"/>
      <c r="F9" s="34"/>
      <c r="G9" s="34"/>
      <c r="H9" s="34"/>
      <c r="I9" s="34"/>
      <c r="J9" s="34"/>
      <c r="K9" s="34"/>
      <c r="L9" s="34"/>
      <c r="M9" s="487"/>
      <c r="N9" s="487"/>
      <c r="O9" s="487"/>
      <c r="P9" s="487"/>
      <c r="Q9" s="487"/>
      <c r="R9" s="487"/>
      <c r="S9" s="487"/>
      <c r="T9" s="487"/>
      <c r="U9" s="487"/>
      <c r="V9" s="487"/>
      <c r="W9" s="487"/>
      <c r="X9" s="487"/>
      <c r="Y9" s="487"/>
      <c r="Z9" s="487"/>
      <c r="AA9" s="34"/>
      <c r="AB9" s="488"/>
      <c r="AC9" s="223"/>
      <c r="AD9" s="208" t="s">
        <v>36</v>
      </c>
      <c r="AE9" s="208"/>
      <c r="AF9" s="208"/>
      <c r="AG9" s="367">
        <f>+AG8+AG7</f>
        <v>0</v>
      </c>
      <c r="AH9" s="211"/>
      <c r="AI9" s="215">
        <f>AI13*12</f>
        <v>0</v>
      </c>
      <c r="AJ9" s="209"/>
      <c r="AQ9" s="402">
        <f>((1+AQ12)^12)-1</f>
        <v>0</v>
      </c>
    </row>
    <row r="10" spans="1:43" ht="12.75">
      <c r="A10" s="489" t="s">
        <v>251</v>
      </c>
      <c r="B10" s="419">
        <f>AQ9</f>
        <v>0</v>
      </c>
      <c r="C10" s="490" t="s">
        <v>41</v>
      </c>
      <c r="D10" s="34"/>
      <c r="E10" s="34"/>
      <c r="F10" s="34"/>
      <c r="G10" s="34"/>
      <c r="H10" s="34"/>
      <c r="I10" s="34"/>
      <c r="J10" s="34"/>
      <c r="K10" s="34"/>
      <c r="L10" s="34"/>
      <c r="M10" s="34"/>
      <c r="N10" s="34"/>
      <c r="O10" s="34"/>
      <c r="P10" s="34"/>
      <c r="Q10" s="34"/>
      <c r="R10" s="34"/>
      <c r="S10" s="34"/>
      <c r="T10" s="34"/>
      <c r="U10" s="2" t="s">
        <v>44</v>
      </c>
      <c r="V10" s="34"/>
      <c r="W10" s="34"/>
      <c r="X10" s="34"/>
      <c r="Y10" s="102">
        <f>AG14</f>
        <v>0</v>
      </c>
      <c r="Z10" s="2" t="s">
        <v>45</v>
      </c>
      <c r="AA10" s="34"/>
      <c r="AB10" s="497"/>
      <c r="AD10" s="209"/>
      <c r="AE10" s="209"/>
      <c r="AF10" s="209"/>
      <c r="AG10" s="209"/>
      <c r="AH10" s="209"/>
      <c r="AI10" s="443">
        <f>((1+AI13)^12)-1</f>
        <v>0</v>
      </c>
      <c r="AJ10" s="209"/>
      <c r="AQ10" s="398" t="s">
        <v>35</v>
      </c>
    </row>
    <row r="11" spans="1:43" ht="12.75">
      <c r="A11" s="63">
        <f>IF(Simulador!$U$62=1,"","- Apartir del mes número 61 y en caso de que el cliente no se reúna con el Banco para revisar y negociar la nueva Tasa de interés que rejirá el crédito, la Tasa de Interés aplicable")</f>
      </c>
      <c r="B11" s="34"/>
      <c r="C11" s="34"/>
      <c r="D11" s="34"/>
      <c r="E11" s="34"/>
      <c r="F11" s="34"/>
      <c r="G11" s="34"/>
      <c r="H11" s="34"/>
      <c r="I11" s="34"/>
      <c r="J11" s="34"/>
      <c r="K11" s="34"/>
      <c r="L11" s="34"/>
      <c r="M11" s="34"/>
      <c r="N11" s="34"/>
      <c r="O11" s="34"/>
      <c r="P11" s="34"/>
      <c r="Q11" s="34"/>
      <c r="R11" s="34"/>
      <c r="S11" s="34"/>
      <c r="T11" s="34"/>
      <c r="U11" s="2" t="s">
        <v>47</v>
      </c>
      <c r="V11" s="34"/>
      <c r="W11" s="34"/>
      <c r="X11" s="34"/>
      <c r="Y11" s="102">
        <f>AH14</f>
        <v>0</v>
      </c>
      <c r="Z11" s="2" t="s">
        <v>46</v>
      </c>
      <c r="AA11" s="34"/>
      <c r="AB11" s="497"/>
      <c r="AD11" s="209"/>
      <c r="AE11" s="209"/>
      <c r="AF11" s="232"/>
      <c r="AG11" s="233" t="s">
        <v>40</v>
      </c>
      <c r="AH11" s="209"/>
      <c r="AI11" s="209" t="s">
        <v>35</v>
      </c>
      <c r="AJ11" s="209"/>
      <c r="AQ11" s="399" t="s">
        <v>37</v>
      </c>
    </row>
    <row r="12" spans="1:43" ht="12.75">
      <c r="A12" s="63">
        <f>IF(Simulador!$U$62=1,"","  será de T.I.I.E. más 4.5 puntos porcentuales, por lo que los valores que se muestran se ajustarán durante la vigencia del crédito en función de la Tasa de Interés variable señalada.")</f>
      </c>
      <c r="B12" s="491"/>
      <c r="C12" s="490"/>
      <c r="D12" s="34"/>
      <c r="E12" s="34"/>
      <c r="F12" s="34"/>
      <c r="G12" s="34"/>
      <c r="H12" s="34"/>
      <c r="I12" s="34"/>
      <c r="J12" s="34"/>
      <c r="K12" s="34"/>
      <c r="L12" s="34"/>
      <c r="M12" s="34"/>
      <c r="N12" s="505"/>
      <c r="O12" s="34"/>
      <c r="P12" s="34"/>
      <c r="Q12" s="34"/>
      <c r="R12" s="34"/>
      <c r="S12" s="34"/>
      <c r="T12" s="2"/>
      <c r="U12" s="34"/>
      <c r="V12" s="2"/>
      <c r="W12" s="34"/>
      <c r="X12" s="34"/>
      <c r="Y12" s="102"/>
      <c r="Z12" s="2"/>
      <c r="AA12" s="34"/>
      <c r="AB12" s="497"/>
      <c r="AD12" s="277"/>
      <c r="AE12" s="209"/>
      <c r="AF12" s="212"/>
      <c r="AG12" s="484">
        <v>0.15</v>
      </c>
      <c r="AH12" s="209"/>
      <c r="AI12" s="211" t="s">
        <v>37</v>
      </c>
      <c r="AJ12" s="209"/>
      <c r="AQ12" s="400">
        <f>_xlfn.IFERROR(IRR(AQ13:AQ254,0),0)</f>
        <v>0</v>
      </c>
    </row>
    <row r="13" spans="1:43" ht="13.5" thickBot="1">
      <c r="A13" s="63"/>
      <c r="B13" s="491"/>
      <c r="C13" s="490"/>
      <c r="D13" s="34"/>
      <c r="E13" s="34"/>
      <c r="F13" s="492"/>
      <c r="G13" s="34"/>
      <c r="H13" s="34"/>
      <c r="I13" s="34"/>
      <c r="J13" s="34"/>
      <c r="K13" s="34"/>
      <c r="L13" s="34"/>
      <c r="M13" s="34"/>
      <c r="N13" s="493"/>
      <c r="O13" s="34"/>
      <c r="P13" s="494"/>
      <c r="Q13" s="34"/>
      <c r="R13" s="34"/>
      <c r="S13" s="34"/>
      <c r="T13" s="495"/>
      <c r="U13" s="495"/>
      <c r="V13" s="496"/>
      <c r="W13" s="34"/>
      <c r="X13" s="34"/>
      <c r="Y13" s="34"/>
      <c r="Z13" s="34"/>
      <c r="AA13" s="34"/>
      <c r="AB13" s="497" t="s">
        <v>119</v>
      </c>
      <c r="AC13" s="497"/>
      <c r="AD13" s="209"/>
      <c r="AE13" s="209"/>
      <c r="AF13" s="209"/>
      <c r="AG13" s="213">
        <f>Simulador!D26+Simulador!U75</f>
        <v>0.045</v>
      </c>
      <c r="AH13" s="209"/>
      <c r="AI13" s="214">
        <f>_xlfn.IFERROR(IRR(AI14:AI254,0),0)</f>
        <v>0</v>
      </c>
      <c r="AJ13" s="209"/>
      <c r="AQ13" s="401">
        <f>AG9-B15</f>
        <v>0</v>
      </c>
    </row>
    <row r="14" spans="1:56" s="29" customFormat="1" ht="38.25">
      <c r="A14" s="498" t="s">
        <v>19</v>
      </c>
      <c r="B14" s="498" t="s">
        <v>6</v>
      </c>
      <c r="C14" s="499"/>
      <c r="D14" s="498" t="s">
        <v>7</v>
      </c>
      <c r="E14" s="499"/>
      <c r="F14" s="498" t="s">
        <v>8</v>
      </c>
      <c r="G14" s="500"/>
      <c r="H14" s="498" t="s">
        <v>9</v>
      </c>
      <c r="I14" s="500"/>
      <c r="J14" s="498" t="s">
        <v>18</v>
      </c>
      <c r="K14" s="499"/>
      <c r="L14" s="498" t="s">
        <v>17</v>
      </c>
      <c r="M14" s="501"/>
      <c r="N14" s="498" t="s">
        <v>98</v>
      </c>
      <c r="O14" s="501"/>
      <c r="P14" s="543" t="s">
        <v>15</v>
      </c>
      <c r="Q14" s="499"/>
      <c r="R14" s="498" t="s">
        <v>10</v>
      </c>
      <c r="S14" s="499"/>
      <c r="T14" s="498" t="s">
        <v>22</v>
      </c>
      <c r="U14" s="501"/>
      <c r="V14" s="498" t="s">
        <v>23</v>
      </c>
      <c r="W14" s="501"/>
      <c r="X14" s="501"/>
      <c r="Y14" s="498" t="s">
        <v>11</v>
      </c>
      <c r="Z14" s="499"/>
      <c r="AA14" s="498" t="s">
        <v>12</v>
      </c>
      <c r="AB14" s="502"/>
      <c r="AC14" s="363" t="s">
        <v>249</v>
      </c>
      <c r="AD14" s="217" t="s">
        <v>42</v>
      </c>
      <c r="AE14" s="217" t="s">
        <v>43</v>
      </c>
      <c r="AF14" s="217">
        <f>SUM(AF15:AF254)</f>
        <v>1</v>
      </c>
      <c r="AG14" s="217">
        <f>SUM(AG15:AG254)</f>
        <v>0</v>
      </c>
      <c r="AH14" s="217">
        <f>SUM(AH15:AH254)</f>
        <v>0</v>
      </c>
      <c r="AI14" s="218">
        <f>AG9-B15</f>
        <v>0</v>
      </c>
      <c r="AJ14" s="216" t="s">
        <v>48</v>
      </c>
      <c r="AK14" s="54" t="s">
        <v>6</v>
      </c>
      <c r="AL14" s="54" t="s">
        <v>7</v>
      </c>
      <c r="AM14" s="54" t="s">
        <v>8</v>
      </c>
      <c r="AN14" s="54" t="s">
        <v>9</v>
      </c>
      <c r="AO14" s="53" t="s">
        <v>10</v>
      </c>
      <c r="AP14" s="55" t="s">
        <v>140</v>
      </c>
      <c r="AQ14" s="56" t="s">
        <v>11</v>
      </c>
      <c r="AR14" s="1" t="s">
        <v>15</v>
      </c>
      <c r="AS14" s="429" t="s">
        <v>5</v>
      </c>
      <c r="AT14" s="548" t="s">
        <v>313</v>
      </c>
      <c r="AU14" s="422" t="s">
        <v>270</v>
      </c>
      <c r="AW14" s="403" t="s">
        <v>271</v>
      </c>
      <c r="AX14" s="403" t="s">
        <v>272</v>
      </c>
      <c r="AY14" s="403" t="s">
        <v>273</v>
      </c>
      <c r="AZ14" s="403" t="s">
        <v>274</v>
      </c>
      <c r="BA14" s="403" t="s">
        <v>275</v>
      </c>
      <c r="BB14" s="403"/>
      <c r="BC14" s="403"/>
      <c r="BD14"/>
    </row>
    <row r="15" spans="1:56" ht="12.75">
      <c r="A15" s="503">
        <v>1</v>
      </c>
      <c r="B15" s="89">
        <f>_xlfn.IFERROR(IF(Simulador!O25="",Simulador!I25,Simulador!O25),0)</f>
        <v>0</v>
      </c>
      <c r="C15" s="89"/>
      <c r="D15" s="90">
        <f>_xlfn.IFERROR(B15/1000*VLOOKUP(Simulador!U62,Simulador!S63:W66,5,0),0)</f>
        <v>0</v>
      </c>
      <c r="E15" s="90"/>
      <c r="F15" s="90">
        <f>_xlfn.IFERROR(IF(B15=0,0,P15/360*AU15*B15),0)</f>
        <v>0</v>
      </c>
      <c r="G15" s="90"/>
      <c r="H15" s="90">
        <f>D15-F15</f>
        <v>0</v>
      </c>
      <c r="I15" s="91"/>
      <c r="J15" s="92"/>
      <c r="K15" s="91"/>
      <c r="L15" s="90">
        <f>IF(Simulador!$T$41=1,0,J15*Simulador!$W$39*1.16)</f>
        <v>0</v>
      </c>
      <c r="M15" s="90"/>
      <c r="N15" s="90"/>
      <c r="O15" s="12"/>
      <c r="P15" s="544">
        <f>_xlfn.IFERROR(IF(B15=0,0,Simulador!$V$67),0)</f>
        <v>0</v>
      </c>
      <c r="Q15" s="4"/>
      <c r="R15" s="90">
        <f>_xlfn.IFERROR(B15-H15-J15+L15-N15,0)</f>
        <v>0</v>
      </c>
      <c r="S15" s="90"/>
      <c r="T15" s="90">
        <f>_xlfn.IFERROR(IF(Simulador!$U$30=1,0,IF($B15&lt;=0,0,$B15*Simulador!$AA$43)),0)</f>
        <v>0</v>
      </c>
      <c r="U15" s="90"/>
      <c r="V15" s="90">
        <f>_xlfn.IFERROR(IF(Simulador!$U$30=1,0,IF($B15&lt;=0,0,IF(Simulador!$D$22&gt;0,Simulador!$D$22,Simulador!$O$24)*Simulador!$AA$44)),0)</f>
        <v>0</v>
      </c>
      <c r="W15" s="90"/>
      <c r="X15" s="90"/>
      <c r="Y15" s="90">
        <f>IF(B15&lt;=0,0,D15+J15+T15+V15)</f>
        <v>0</v>
      </c>
      <c r="Z15" s="13"/>
      <c r="AA15" s="14"/>
      <c r="AB15" s="6"/>
      <c r="AC15" s="364"/>
      <c r="AD15" s="219">
        <v>0</v>
      </c>
      <c r="AE15" s="219">
        <f>IF(B15=0,0,1)</f>
        <v>0</v>
      </c>
      <c r="AF15" s="269">
        <f>IF(R15&lt;=0.01,IF(R14&gt;0.01,A15,0),0)</f>
        <v>1</v>
      </c>
      <c r="AG15" s="209">
        <f>IF(AF15&gt;0,AD15,0)</f>
        <v>0</v>
      </c>
      <c r="AH15" s="209">
        <f>IF(AF15&gt;0,AE15,0)</f>
        <v>0</v>
      </c>
      <c r="AI15" s="219">
        <f aca="true" t="shared" si="0" ref="AI15:AI78">Y15</f>
        <v>0</v>
      </c>
      <c r="AJ15" s="425">
        <f aca="true" t="shared" si="1" ref="AJ15:AJ23">_xlfn.IFERROR((AL15/AK15),0)</f>
        <v>0</v>
      </c>
      <c r="AK15" s="57">
        <f>B15</f>
        <v>0</v>
      </c>
      <c r="AL15" s="57">
        <f>D15</f>
        <v>0</v>
      </c>
      <c r="AM15" s="58">
        <f aca="true" t="shared" si="2" ref="AM15:AM75">_xlfn.IFERROR(IF(AK15=0,0,AR15/360*AU15*AK15),0)</f>
        <v>0</v>
      </c>
      <c r="AN15" s="57">
        <f>+AL15-AM15</f>
        <v>0</v>
      </c>
      <c r="AO15" s="432">
        <f>+AK15-AN15</f>
        <v>0</v>
      </c>
      <c r="AP15" s="90">
        <f>_xlfn.IFERROR(IF(Simulador!$U$30=1,0,IF($AK15&lt;=0,0,$AK15*Simulador!$AA$43)),0)+_xlfn.IFERROR(IF(Simulador!$U$30=1,0,IF($AK15&lt;=0,0,IF(Simulador!$D$22&gt;0,Simulador!$D$22,Simulador!$O$24)*Simulador!$AA$44)),0)</f>
        <v>0</v>
      </c>
      <c r="AQ15" s="90">
        <f>AL15+AP15</f>
        <v>0</v>
      </c>
      <c r="AR15" s="26">
        <f>_xlfn.IFERROR(IF(AK15=0,0,Simulador!$V$67),0)</f>
        <v>0</v>
      </c>
      <c r="AS15" s="428">
        <f>IF(Simulador!U62=1,60,IF(Simulador!U62=2,120,IF(Simulador!U62=3,180,240)))</f>
        <v>60</v>
      </c>
      <c r="AT15" s="549">
        <f>IF(AK15=0,"",DATE(AW15,AX15+BA15,AZ15))</f>
      </c>
      <c r="AU15" s="404">
        <f>_xlfn.IFERROR(DAY(DATE(YEAR(AT15),MONTH(AT15)+1,0)),0)</f>
        <v>0</v>
      </c>
      <c r="AV15" s="52">
        <v>1</v>
      </c>
      <c r="AW15" s="427">
        <f>_xlfn.IFERROR(YEAR(Simulador!C8),YEAR(Simulador!C8))</f>
        <v>2022</v>
      </c>
      <c r="AX15" s="427">
        <f>_xlfn.IFERROR(MONTH(Simulador!C8),MONTH(Simulador!C8))</f>
        <v>7</v>
      </c>
      <c r="AY15" s="29">
        <f>_xlfn.IFERROR(DAY(Simulador!C8),DAY(Simulador!C8))</f>
        <v>1</v>
      </c>
      <c r="AZ15" s="427">
        <f ca="1">IF(AND(DAY(TODAY())&gt;=3,DAY(TODAY())&lt;=16),3,17)</f>
        <v>17</v>
      </c>
      <c r="BA15" s="29">
        <f>IF(AY15&gt;AZ15,1,0)</f>
        <v>0</v>
      </c>
      <c r="BD15" s="413"/>
    </row>
    <row r="16" spans="1:52" ht="12.75" customHeight="1">
      <c r="A16" s="503">
        <v>2</v>
      </c>
      <c r="B16" s="89">
        <f>IF(R15&lt;=0.01,0,R15)</f>
        <v>0</v>
      </c>
      <c r="C16" s="89"/>
      <c r="D16" s="90">
        <f>IF(B16+F16-D15&lt;=0,B16+F16,IF(AND(Simulador!$U$62=1,$AF$3=2),B16*AJ16,D15))</f>
        <v>0</v>
      </c>
      <c r="E16" s="90"/>
      <c r="F16" s="90">
        <f aca="true" t="shared" si="3" ref="F16:F79">_xlfn.IFERROR(IF(B16=0,0,P16/360*AU16*B16),0)</f>
        <v>0</v>
      </c>
      <c r="G16" s="90"/>
      <c r="H16" s="90">
        <f>D16-F16</f>
        <v>0</v>
      </c>
      <c r="I16" s="91"/>
      <c r="J16" s="92"/>
      <c r="K16" s="91"/>
      <c r="L16" s="90">
        <f>IF(Simulador!$T$41=1,0,J16*Simulador!$W$39*1.16)</f>
        <v>0</v>
      </c>
      <c r="M16" s="90"/>
      <c r="N16" s="93">
        <f>IF(AND(Simulador!U39&lt;&gt;2,Simulador!U39&lt;&gt;5),0,IF(Simulador!D24*Simulador!$AG$69*2&gt;Simulador!$AH$71,Simulador!$AH$71,IF(B16=0,0,Simulador!D24*Simulador!$AG$69*2)))</f>
        <v>0</v>
      </c>
      <c r="O16" s="12"/>
      <c r="P16" s="544">
        <f>_xlfn.IFERROR(IF(B16=0,0,P15),0)</f>
        <v>0</v>
      </c>
      <c r="Q16" s="4"/>
      <c r="R16" s="90">
        <f aca="true" t="shared" si="4" ref="R16:R30">B16-H16-J16+L16-N16</f>
        <v>0</v>
      </c>
      <c r="S16" s="90"/>
      <c r="T16" s="90">
        <f>_xlfn.IFERROR(IF(Simulador!$U$30=1,0,IF($B16&lt;=0,0,$B16*Simulador!$AA$43)),0)</f>
        <v>0</v>
      </c>
      <c r="U16" s="90"/>
      <c r="V16" s="90">
        <f>_xlfn.IFERROR(IF(Simulador!$U$30=1,0,IF($B16&lt;=0,0,IF(Simulador!$D$22&gt;0,Simulador!$D$22,Simulador!$O$24)*Simulador!$AA$44)),0)</f>
        <v>0</v>
      </c>
      <c r="W16" s="90"/>
      <c r="X16" s="90"/>
      <c r="Y16" s="90">
        <f aca="true" t="shared" si="5" ref="Y16:Y78">IF(B16&lt;=0,0,D16+J16+T16+V16)</f>
        <v>0</v>
      </c>
      <c r="Z16" s="13"/>
      <c r="AA16" s="15"/>
      <c r="AB16" s="16"/>
      <c r="AC16" s="364"/>
      <c r="AD16" s="219">
        <v>0</v>
      </c>
      <c r="AE16" s="220">
        <v>2</v>
      </c>
      <c r="AF16" s="269">
        <f aca="true" t="shared" si="6" ref="AF16:AF79">IF(R16&lt;=0.01,IF(R15&gt;0.01,A16,0),0)</f>
        <v>0</v>
      </c>
      <c r="AG16" s="209">
        <f aca="true" t="shared" si="7" ref="AG16:AG79">IF(AF16&gt;0,AD16,0)</f>
        <v>0</v>
      </c>
      <c r="AH16" s="209">
        <f aca="true" t="shared" si="8" ref="AH16:AH79">IF(AF16&gt;0,AE16,0)</f>
        <v>0</v>
      </c>
      <c r="AI16" s="219">
        <f t="shared" si="0"/>
        <v>0</v>
      </c>
      <c r="AJ16" s="425">
        <f t="shared" si="1"/>
        <v>0</v>
      </c>
      <c r="AK16" s="57">
        <f>+AO15</f>
        <v>0</v>
      </c>
      <c r="AL16" s="57">
        <f aca="true" t="shared" si="9" ref="AL16:AL32">_xlfn.IFERROR((IF(AK16+AM16-AL15&lt;0,AK16+AM16,AL15*(1+AA16))),0)</f>
        <v>0</v>
      </c>
      <c r="AM16" s="58">
        <f t="shared" si="2"/>
        <v>0</v>
      </c>
      <c r="AN16" s="57">
        <f>+AL16-AM16</f>
        <v>0</v>
      </c>
      <c r="AO16" s="432">
        <f>+AK16-AN16</f>
        <v>0</v>
      </c>
      <c r="AP16" s="90">
        <f>_xlfn.IFERROR(IF(Simulador!$U$30=1,0,IF($AK16&lt;=0,0,$AK16*Simulador!$AA$43)),0)+_xlfn.IFERROR(IF(Simulador!$U$30=1,0,IF($AK16&lt;=0,0,IF(Simulador!$D$22&gt;0,Simulador!$D$22,Simulador!$O$24)*Simulador!$AA$44)),0)</f>
        <v>0</v>
      </c>
      <c r="AQ16" s="90">
        <f aca="true" t="shared" si="10" ref="AQ16:AQ78">AL16+AP16</f>
        <v>0</v>
      </c>
      <c r="AR16" s="26">
        <f>_xlfn.IFERROR(IF(AK16=0,0,AR15),0)</f>
        <v>0</v>
      </c>
      <c r="AS16">
        <f aca="true" t="shared" si="11" ref="AS16:AS79">_xlfn.IFERROR(IF(AK16&lt;=0.01,0,AS15-1),0)</f>
        <v>0</v>
      </c>
      <c r="AT16" s="549">
        <f>IF(AK16=0,"",DATE(YEAR(AT15),MONTH(AT15)+1,1))</f>
      </c>
      <c r="AU16" s="404">
        <f aca="true" t="shared" si="12" ref="AU16:AU79">_xlfn.IFERROR(DAY(DATE(YEAR(AT16),MONTH(AT16)+1,0)),0)</f>
        <v>0</v>
      </c>
      <c r="AV16" s="52">
        <v>2</v>
      </c>
      <c r="AW16" s="413"/>
      <c r="AX16" s="52"/>
      <c r="AZ16" s="52"/>
    </row>
    <row r="17" spans="1:49" ht="12.75">
      <c r="A17" s="503">
        <v>3</v>
      </c>
      <c r="B17" s="89">
        <f aca="true" t="shared" si="13" ref="B17:B80">IF(R16&lt;=0.01,0,R16)</f>
        <v>0</v>
      </c>
      <c r="C17" s="89"/>
      <c r="D17" s="90">
        <f>IF(B17+F17-D16&lt;=0,B17+F17,IF(AND(Simulador!$U$62=1,$AF$3=2),B17*AJ17,D16))</f>
        <v>0</v>
      </c>
      <c r="E17" s="90"/>
      <c r="F17" s="90">
        <f t="shared" si="3"/>
        <v>0</v>
      </c>
      <c r="G17" s="90"/>
      <c r="H17" s="90">
        <f aca="true" t="shared" si="14" ref="H17:H80">D17-F17</f>
        <v>0</v>
      </c>
      <c r="I17" s="91"/>
      <c r="J17" s="92"/>
      <c r="K17" s="91"/>
      <c r="L17" s="90">
        <f>IF(Simulador!$T$41=1,0,J17*Simulador!$W$39*1.16)</f>
        <v>0</v>
      </c>
      <c r="M17" s="90"/>
      <c r="N17" s="90"/>
      <c r="O17" s="12"/>
      <c r="P17" s="544">
        <f aca="true" t="shared" si="15" ref="P17:P80">_xlfn.IFERROR(IF(B17=0,0,P16),0)</f>
        <v>0</v>
      </c>
      <c r="Q17" s="4"/>
      <c r="R17" s="90">
        <f t="shared" si="4"/>
        <v>0</v>
      </c>
      <c r="S17" s="90"/>
      <c r="T17" s="90">
        <f>_xlfn.IFERROR(IF(Simulador!$U$30=1,0,IF($B17&lt;=0,0,$B17*Simulador!$AA$43)),0)</f>
        <v>0</v>
      </c>
      <c r="U17" s="90"/>
      <c r="V17" s="90">
        <f>_xlfn.IFERROR(IF(Simulador!$U$30=1,0,IF($B17&lt;=0,0,IF(Simulador!$D$22&gt;0,Simulador!$D$22,Simulador!$O$24)*Simulador!$AA$44)),0)</f>
        <v>0</v>
      </c>
      <c r="W17" s="90"/>
      <c r="X17" s="90"/>
      <c r="Y17" s="90">
        <f t="shared" si="5"/>
        <v>0</v>
      </c>
      <c r="Z17" s="13"/>
      <c r="AA17" s="15"/>
      <c r="AB17" s="16"/>
      <c r="AC17" s="364"/>
      <c r="AD17" s="219">
        <v>0</v>
      </c>
      <c r="AE17" s="220">
        <v>3</v>
      </c>
      <c r="AF17" s="269">
        <f t="shared" si="6"/>
        <v>0</v>
      </c>
      <c r="AG17" s="209">
        <f t="shared" si="7"/>
        <v>0</v>
      </c>
      <c r="AH17" s="209">
        <f t="shared" si="8"/>
        <v>0</v>
      </c>
      <c r="AI17" s="219">
        <f t="shared" si="0"/>
        <v>0</v>
      </c>
      <c r="AJ17" s="425">
        <f t="shared" si="1"/>
        <v>0</v>
      </c>
      <c r="AK17" s="57">
        <f>+AO16</f>
        <v>0</v>
      </c>
      <c r="AL17" s="57">
        <f t="shared" si="9"/>
        <v>0</v>
      </c>
      <c r="AM17" s="58">
        <f t="shared" si="2"/>
        <v>0</v>
      </c>
      <c r="AN17" s="57">
        <f>+AL17-AM17</f>
        <v>0</v>
      </c>
      <c r="AO17" s="432">
        <f>+AK17-AN17</f>
        <v>0</v>
      </c>
      <c r="AP17" s="90">
        <f>_xlfn.IFERROR(IF(Simulador!$U$30=1,0,IF($AK17&lt;=0,0,$AK17*Simulador!$AA$43)),0)+_xlfn.IFERROR(IF(Simulador!$U$30=1,0,IF($AK17&lt;=0,0,IF(Simulador!$D$22&gt;0,Simulador!$D$22,Simulador!$O$24)*Simulador!$AA$44)),0)</f>
        <v>0</v>
      </c>
      <c r="AQ17" s="90">
        <f t="shared" si="10"/>
        <v>0</v>
      </c>
      <c r="AR17" s="26">
        <f aca="true" t="shared" si="16" ref="AR17:AR80">_xlfn.IFERROR(IF(AK17=0,0,AR16),0)</f>
        <v>0</v>
      </c>
      <c r="AS17">
        <f t="shared" si="11"/>
        <v>0</v>
      </c>
      <c r="AT17" s="549">
        <f aca="true" t="shared" si="17" ref="AT17:AT80">IF(AK17=0,"",DATE(YEAR(AT16),MONTH(AT16)+1,1))</f>
      </c>
      <c r="AU17" s="404">
        <f t="shared" si="12"/>
        <v>0</v>
      </c>
      <c r="AV17" s="52">
        <v>3</v>
      </c>
      <c r="AW17" s="27"/>
    </row>
    <row r="18" spans="1:49" ht="12.75">
      <c r="A18" s="503">
        <v>4</v>
      </c>
      <c r="B18" s="89">
        <f t="shared" si="13"/>
        <v>0</v>
      </c>
      <c r="C18" s="89"/>
      <c r="D18" s="90">
        <f>IF(B18+F18-D17&lt;=0,B18+F18,IF(AND(Simulador!$U$62=1,$AF$3=2),B18*AJ18,D17))</f>
        <v>0</v>
      </c>
      <c r="E18" s="90"/>
      <c r="F18" s="90">
        <f t="shared" si="3"/>
        <v>0</v>
      </c>
      <c r="G18" s="90"/>
      <c r="H18" s="90">
        <f t="shared" si="14"/>
        <v>0</v>
      </c>
      <c r="I18" s="91"/>
      <c r="J18" s="92"/>
      <c r="K18" s="91"/>
      <c r="L18" s="90">
        <f>IF(Simulador!$T$41=1,0,J18*Simulador!$W$39*1.16)</f>
        <v>0</v>
      </c>
      <c r="M18" s="90"/>
      <c r="N18" s="93">
        <f>IF(B18-H18=0,0,N16)</f>
        <v>0</v>
      </c>
      <c r="O18" s="12"/>
      <c r="P18" s="544">
        <f t="shared" si="15"/>
        <v>0</v>
      </c>
      <c r="Q18" s="4"/>
      <c r="R18" s="90">
        <f t="shared" si="4"/>
        <v>0</v>
      </c>
      <c r="S18" s="90"/>
      <c r="T18" s="90">
        <f>_xlfn.IFERROR(IF(Simulador!$U$30=1,0,IF($B18&lt;=0,0,$B18*Simulador!$AA$43)),0)</f>
        <v>0</v>
      </c>
      <c r="U18" s="90"/>
      <c r="V18" s="90">
        <f>_xlfn.IFERROR(IF(Simulador!$U$30=1,0,IF($B18&lt;=0,0,IF(Simulador!$D$22&gt;0,Simulador!$D$22,Simulador!$O$24)*Simulador!$AA$44)),0)</f>
        <v>0</v>
      </c>
      <c r="W18" s="90"/>
      <c r="X18" s="90"/>
      <c r="Y18" s="90">
        <f t="shared" si="5"/>
        <v>0</v>
      </c>
      <c r="Z18" s="13"/>
      <c r="AA18" s="15"/>
      <c r="AB18" s="6"/>
      <c r="AC18" s="364"/>
      <c r="AD18" s="219">
        <v>0</v>
      </c>
      <c r="AE18" s="219">
        <v>4</v>
      </c>
      <c r="AF18" s="269">
        <f t="shared" si="6"/>
        <v>0</v>
      </c>
      <c r="AG18" s="209">
        <f t="shared" si="7"/>
        <v>0</v>
      </c>
      <c r="AH18" s="209">
        <f t="shared" si="8"/>
        <v>0</v>
      </c>
      <c r="AI18" s="219">
        <f t="shared" si="0"/>
        <v>0</v>
      </c>
      <c r="AJ18" s="425">
        <f t="shared" si="1"/>
        <v>0</v>
      </c>
      <c r="AK18" s="57">
        <f>+AO17</f>
        <v>0</v>
      </c>
      <c r="AL18" s="57">
        <f t="shared" si="9"/>
        <v>0</v>
      </c>
      <c r="AM18" s="58">
        <f t="shared" si="2"/>
        <v>0</v>
      </c>
      <c r="AN18" s="57">
        <f>+AL18-AM18</f>
        <v>0</v>
      </c>
      <c r="AO18" s="432">
        <f>+AK18-AN18</f>
        <v>0</v>
      </c>
      <c r="AP18" s="90">
        <f>_xlfn.IFERROR(IF(Simulador!$U$30=1,0,IF($AK18&lt;=0,0,$AK18*Simulador!$AA$43)),0)+_xlfn.IFERROR(IF(Simulador!$U$30=1,0,IF($AK18&lt;=0,0,IF(Simulador!$D$22&gt;0,Simulador!$D$22,Simulador!$O$24)*Simulador!$AA$44)),0)</f>
        <v>0</v>
      </c>
      <c r="AQ18" s="90">
        <f t="shared" si="10"/>
        <v>0</v>
      </c>
      <c r="AR18" s="26">
        <f t="shared" si="16"/>
        <v>0</v>
      </c>
      <c r="AS18">
        <f t="shared" si="11"/>
        <v>0</v>
      </c>
      <c r="AT18" s="549">
        <f t="shared" si="17"/>
      </c>
      <c r="AU18" s="404">
        <f t="shared" si="12"/>
        <v>0</v>
      </c>
      <c r="AV18" s="52">
        <v>4</v>
      </c>
      <c r="AW18" s="27"/>
    </row>
    <row r="19" spans="1:52" ht="12.75">
      <c r="A19" s="503">
        <v>5</v>
      </c>
      <c r="B19" s="89">
        <f t="shared" si="13"/>
        <v>0</v>
      </c>
      <c r="C19" s="89"/>
      <c r="D19" s="90">
        <f>IF(B19+F19-D18&lt;=0,B19+F19,IF(AND(Simulador!$U$62=1,$AF$3=2),B19*AJ19,D18))</f>
        <v>0</v>
      </c>
      <c r="E19" s="90"/>
      <c r="F19" s="90">
        <f t="shared" si="3"/>
        <v>0</v>
      </c>
      <c r="G19" s="90"/>
      <c r="H19" s="90">
        <f t="shared" si="14"/>
        <v>0</v>
      </c>
      <c r="I19" s="91"/>
      <c r="J19" s="92"/>
      <c r="K19" s="91"/>
      <c r="L19" s="90">
        <f>IF(Simulador!$T$41=1,0,J19*Simulador!$W$39*1.16)</f>
        <v>0</v>
      </c>
      <c r="M19" s="90"/>
      <c r="N19" s="94"/>
      <c r="O19" s="12"/>
      <c r="P19" s="544">
        <f t="shared" si="15"/>
        <v>0</v>
      </c>
      <c r="Q19" s="4"/>
      <c r="R19" s="90">
        <f t="shared" si="4"/>
        <v>0</v>
      </c>
      <c r="S19" s="90"/>
      <c r="T19" s="90">
        <f>_xlfn.IFERROR(IF(Simulador!$U$30=1,0,IF($B19&lt;=0,0,$B19*Simulador!$AA$43)),0)</f>
        <v>0</v>
      </c>
      <c r="U19" s="90"/>
      <c r="V19" s="90">
        <f>_xlfn.IFERROR(IF(Simulador!$U$30=1,0,IF($B19&lt;=0,0,IF(Simulador!$D$22&gt;0,Simulador!$D$22,Simulador!$O$24)*Simulador!$AA$44)),0)</f>
        <v>0</v>
      </c>
      <c r="W19" s="90"/>
      <c r="X19" s="90"/>
      <c r="Y19" s="90">
        <f t="shared" si="5"/>
        <v>0</v>
      </c>
      <c r="Z19" s="13"/>
      <c r="AA19" s="15"/>
      <c r="AB19" s="6"/>
      <c r="AC19" s="364"/>
      <c r="AD19" s="219">
        <v>0</v>
      </c>
      <c r="AE19" s="219">
        <v>5</v>
      </c>
      <c r="AF19" s="269">
        <f t="shared" si="6"/>
        <v>0</v>
      </c>
      <c r="AG19" s="209">
        <f t="shared" si="7"/>
        <v>0</v>
      </c>
      <c r="AH19" s="209">
        <f t="shared" si="8"/>
        <v>0</v>
      </c>
      <c r="AI19" s="219">
        <f t="shared" si="0"/>
        <v>0</v>
      </c>
      <c r="AJ19" s="425">
        <f t="shared" si="1"/>
        <v>0</v>
      </c>
      <c r="AK19" s="57">
        <f aca="true" t="shared" si="18" ref="AK19:AK75">+AO18</f>
        <v>0</v>
      </c>
      <c r="AL19" s="57">
        <f t="shared" si="9"/>
        <v>0</v>
      </c>
      <c r="AM19" s="58">
        <f t="shared" si="2"/>
        <v>0</v>
      </c>
      <c r="AN19" s="57">
        <f aca="true" t="shared" si="19" ref="AN19:AN75">+AL19-AM19</f>
        <v>0</v>
      </c>
      <c r="AO19" s="432">
        <f aca="true" t="shared" si="20" ref="AO19:AO74">+AK19-AN19</f>
        <v>0</v>
      </c>
      <c r="AP19" s="90">
        <f>_xlfn.IFERROR(IF(Simulador!$U$30=1,0,IF($AK19&lt;=0,0,$AK19*Simulador!$AA$43)),0)+_xlfn.IFERROR(IF(Simulador!$U$30=1,0,IF($AK19&lt;=0,0,IF(Simulador!$D$22&gt;0,Simulador!$D$22,Simulador!$O$24)*Simulador!$AA$44)),0)</f>
        <v>0</v>
      </c>
      <c r="AQ19" s="90">
        <f t="shared" si="10"/>
        <v>0</v>
      </c>
      <c r="AR19" s="26">
        <f t="shared" si="16"/>
        <v>0</v>
      </c>
      <c r="AS19">
        <f t="shared" si="11"/>
        <v>0</v>
      </c>
      <c r="AT19" s="549">
        <f t="shared" si="17"/>
      </c>
      <c r="AU19" s="404">
        <f t="shared" si="12"/>
        <v>0</v>
      </c>
      <c r="AV19" s="52">
        <v>5</v>
      </c>
      <c r="AW19" s="27"/>
      <c r="AZ19" s="52"/>
    </row>
    <row r="20" spans="1:55" ht="12.75">
      <c r="A20" s="503">
        <v>6</v>
      </c>
      <c r="B20" s="89">
        <f t="shared" si="13"/>
        <v>0</v>
      </c>
      <c r="C20" s="89"/>
      <c r="D20" s="90">
        <f>IF(B20+F20-D19&lt;=0,B20+F20,IF(AND(Simulador!$U$62=1,$AF$3=2),B20*AJ20,D19))</f>
        <v>0</v>
      </c>
      <c r="E20" s="90"/>
      <c r="F20" s="90">
        <f t="shared" si="3"/>
        <v>0</v>
      </c>
      <c r="G20" s="90"/>
      <c r="H20" s="90">
        <f t="shared" si="14"/>
        <v>0</v>
      </c>
      <c r="I20" s="91"/>
      <c r="J20" s="92"/>
      <c r="K20" s="91"/>
      <c r="L20" s="90">
        <f>IF(Simulador!$T$41=1,0,J20*Simulador!$W$39*1.16)</f>
        <v>0</v>
      </c>
      <c r="M20" s="90"/>
      <c r="N20" s="93">
        <f>IF(B20-H20=0,0,N18)</f>
        <v>0</v>
      </c>
      <c r="O20" s="12"/>
      <c r="P20" s="544">
        <f t="shared" si="15"/>
        <v>0</v>
      </c>
      <c r="Q20" s="4"/>
      <c r="R20" s="90">
        <f t="shared" si="4"/>
        <v>0</v>
      </c>
      <c r="S20" s="90"/>
      <c r="T20" s="90">
        <f>_xlfn.IFERROR(IF(Simulador!$U$30=1,0,IF($B20&lt;=0,0,$B20*Simulador!$AA$43)),0)</f>
        <v>0</v>
      </c>
      <c r="U20" s="90"/>
      <c r="V20" s="90">
        <f>_xlfn.IFERROR(IF(Simulador!$U$30=1,0,IF($B20&lt;=0,0,IF(Simulador!$D$22&gt;0,Simulador!$D$22,Simulador!$O$24)*Simulador!$AA$44)),0)</f>
        <v>0</v>
      </c>
      <c r="W20" s="90"/>
      <c r="X20" s="90"/>
      <c r="Y20" s="90">
        <f t="shared" si="5"/>
        <v>0</v>
      </c>
      <c r="Z20" s="13"/>
      <c r="AA20" s="15"/>
      <c r="AB20" s="6"/>
      <c r="AC20" s="364"/>
      <c r="AD20" s="219">
        <v>0</v>
      </c>
      <c r="AE20" s="219">
        <v>6</v>
      </c>
      <c r="AF20" s="269">
        <f t="shared" si="6"/>
        <v>0</v>
      </c>
      <c r="AG20" s="209">
        <f t="shared" si="7"/>
        <v>0</v>
      </c>
      <c r="AH20" s="209">
        <f t="shared" si="8"/>
        <v>0</v>
      </c>
      <c r="AI20" s="219">
        <f t="shared" si="0"/>
        <v>0</v>
      </c>
      <c r="AJ20" s="425">
        <f t="shared" si="1"/>
        <v>0</v>
      </c>
      <c r="AK20" s="57">
        <f t="shared" si="18"/>
        <v>0</v>
      </c>
      <c r="AL20" s="57">
        <f t="shared" si="9"/>
        <v>0</v>
      </c>
      <c r="AM20" s="58">
        <f t="shared" si="2"/>
        <v>0</v>
      </c>
      <c r="AN20" s="57">
        <f t="shared" si="19"/>
        <v>0</v>
      </c>
      <c r="AO20" s="432">
        <f t="shared" si="20"/>
        <v>0</v>
      </c>
      <c r="AP20" s="90">
        <f>_xlfn.IFERROR(IF(Simulador!$U$30=1,0,IF($AK20&lt;=0,0,$AK20*Simulador!$AA$43)),0)+_xlfn.IFERROR(IF(Simulador!$U$30=1,0,IF($AK20&lt;=0,0,IF(Simulador!$D$22&gt;0,Simulador!$D$22,Simulador!$O$24)*Simulador!$AA$44)),0)</f>
        <v>0</v>
      </c>
      <c r="AQ20" s="90">
        <f t="shared" si="10"/>
        <v>0</v>
      </c>
      <c r="AR20" s="26">
        <f t="shared" si="16"/>
        <v>0</v>
      </c>
      <c r="AS20">
        <f t="shared" si="11"/>
        <v>0</v>
      </c>
      <c r="AT20" s="549">
        <f t="shared" si="17"/>
      </c>
      <c r="AU20" s="404">
        <f t="shared" si="12"/>
        <v>0</v>
      </c>
      <c r="AV20" s="52">
        <v>6</v>
      </c>
      <c r="AW20" s="27"/>
      <c r="AZ20" s="52"/>
      <c r="BB20" s="426"/>
      <c r="BC20" s="430"/>
    </row>
    <row r="21" spans="1:55" ht="12.75">
      <c r="A21" s="503">
        <v>7</v>
      </c>
      <c r="B21" s="89">
        <f t="shared" si="13"/>
        <v>0</v>
      </c>
      <c r="C21" s="89"/>
      <c r="D21" s="90">
        <f>IF(B21+F21-D20&lt;=0,B21+F21,IF(AND(Simulador!$U$62=1,$AF$3=2),B21*AJ21,D20))</f>
        <v>0</v>
      </c>
      <c r="E21" s="90"/>
      <c r="F21" s="90">
        <f t="shared" si="3"/>
        <v>0</v>
      </c>
      <c r="G21" s="90"/>
      <c r="H21" s="90">
        <f t="shared" si="14"/>
        <v>0</v>
      </c>
      <c r="I21" s="91"/>
      <c r="J21" s="92"/>
      <c r="K21" s="91"/>
      <c r="L21" s="90">
        <f>IF(Simulador!$T$41=1,0,J21*Simulador!$W$39*1.16)</f>
        <v>0</v>
      </c>
      <c r="M21" s="90"/>
      <c r="N21" s="94"/>
      <c r="O21" s="12"/>
      <c r="P21" s="544">
        <f t="shared" si="15"/>
        <v>0</v>
      </c>
      <c r="Q21" s="4"/>
      <c r="R21" s="90">
        <f t="shared" si="4"/>
        <v>0</v>
      </c>
      <c r="S21" s="90"/>
      <c r="T21" s="90">
        <f>_xlfn.IFERROR(IF(Simulador!$U$30=1,0,IF($B21&lt;=0,0,$B21*Simulador!$AA$43)),0)</f>
        <v>0</v>
      </c>
      <c r="U21" s="90"/>
      <c r="V21" s="90">
        <f>_xlfn.IFERROR(IF(Simulador!$U$30=1,0,IF($B21&lt;=0,0,IF(Simulador!$D$22&gt;0,Simulador!$D$22,Simulador!$O$24)*Simulador!$AA$44)),0)</f>
        <v>0</v>
      </c>
      <c r="W21" s="90"/>
      <c r="X21" s="90"/>
      <c r="Y21" s="90">
        <f t="shared" si="5"/>
        <v>0</v>
      </c>
      <c r="Z21" s="13"/>
      <c r="AA21" s="15"/>
      <c r="AB21" s="6"/>
      <c r="AC21" s="364"/>
      <c r="AD21" s="219">
        <v>0</v>
      </c>
      <c r="AE21" s="219">
        <v>7</v>
      </c>
      <c r="AF21" s="269">
        <f t="shared" si="6"/>
        <v>0</v>
      </c>
      <c r="AG21" s="209">
        <f t="shared" si="7"/>
        <v>0</v>
      </c>
      <c r="AH21" s="209">
        <f t="shared" si="8"/>
        <v>0</v>
      </c>
      <c r="AI21" s="219">
        <f t="shared" si="0"/>
        <v>0</v>
      </c>
      <c r="AJ21" s="425">
        <f t="shared" si="1"/>
        <v>0</v>
      </c>
      <c r="AK21" s="57">
        <f t="shared" si="18"/>
        <v>0</v>
      </c>
      <c r="AL21" s="57">
        <f t="shared" si="9"/>
        <v>0</v>
      </c>
      <c r="AM21" s="58">
        <f t="shared" si="2"/>
        <v>0</v>
      </c>
      <c r="AN21" s="57">
        <f t="shared" si="19"/>
        <v>0</v>
      </c>
      <c r="AO21" s="432">
        <f t="shared" si="20"/>
        <v>0</v>
      </c>
      <c r="AP21" s="90">
        <f>_xlfn.IFERROR(IF(Simulador!$U$30=1,0,IF($AK21&lt;=0,0,$AK21*Simulador!$AA$43)),0)+_xlfn.IFERROR(IF(Simulador!$U$30=1,0,IF($AK21&lt;=0,0,IF(Simulador!$D$22&gt;0,Simulador!$D$22,Simulador!$O$24)*Simulador!$AA$44)),0)</f>
        <v>0</v>
      </c>
      <c r="AQ21" s="90">
        <f t="shared" si="10"/>
        <v>0</v>
      </c>
      <c r="AR21" s="26">
        <f t="shared" si="16"/>
        <v>0</v>
      </c>
      <c r="AS21">
        <f t="shared" si="11"/>
        <v>0</v>
      </c>
      <c r="AT21" s="549">
        <f t="shared" si="17"/>
      </c>
      <c r="AU21" s="404">
        <f t="shared" si="12"/>
        <v>0</v>
      </c>
      <c r="AV21" s="52">
        <v>7</v>
      </c>
      <c r="AW21" s="27"/>
      <c r="AZ21" s="52"/>
      <c r="BB21" s="426"/>
      <c r="BC21" s="431"/>
    </row>
    <row r="22" spans="1:55" ht="12.75">
      <c r="A22" s="503">
        <v>8</v>
      </c>
      <c r="B22" s="89">
        <f t="shared" si="13"/>
        <v>0</v>
      </c>
      <c r="C22" s="89"/>
      <c r="D22" s="90">
        <f>IF(B22+F22-D21&lt;=0,B22+F22,IF(AND(Simulador!$U$62=1,$AF$3=2),B22*AJ22,D21))</f>
        <v>0</v>
      </c>
      <c r="E22" s="90"/>
      <c r="F22" s="90">
        <f t="shared" si="3"/>
        <v>0</v>
      </c>
      <c r="G22" s="90"/>
      <c r="H22" s="90">
        <f t="shared" si="14"/>
        <v>0</v>
      </c>
      <c r="I22" s="91"/>
      <c r="J22" s="92"/>
      <c r="K22" s="91"/>
      <c r="L22" s="90">
        <f>IF(Simulador!$T$41=1,0,J22*Simulador!$W$39*1.16)</f>
        <v>0</v>
      </c>
      <c r="M22" s="90"/>
      <c r="N22" s="93">
        <f>IF(B22-H22=0,0,N20)</f>
        <v>0</v>
      </c>
      <c r="O22" s="12"/>
      <c r="P22" s="544">
        <f t="shared" si="15"/>
        <v>0</v>
      </c>
      <c r="Q22" s="4"/>
      <c r="R22" s="90">
        <f t="shared" si="4"/>
        <v>0</v>
      </c>
      <c r="S22" s="90"/>
      <c r="T22" s="90">
        <f>_xlfn.IFERROR(IF(Simulador!$U$30=1,0,IF($B22&lt;=0,0,$B22*Simulador!$AA$43)),0)</f>
        <v>0</v>
      </c>
      <c r="U22" s="90"/>
      <c r="V22" s="90">
        <f>_xlfn.IFERROR(IF(Simulador!$U$30=1,0,IF($B22&lt;=0,0,IF(Simulador!$D$22&gt;0,Simulador!$D$22,Simulador!$O$24)*Simulador!$AA$44)),0)</f>
        <v>0</v>
      </c>
      <c r="W22" s="90"/>
      <c r="X22" s="90"/>
      <c r="Y22" s="90">
        <f t="shared" si="5"/>
        <v>0</v>
      </c>
      <c r="Z22" s="13"/>
      <c r="AA22" s="15"/>
      <c r="AB22" s="6"/>
      <c r="AC22" s="364"/>
      <c r="AD22" s="219">
        <v>0</v>
      </c>
      <c r="AE22" s="219">
        <v>8</v>
      </c>
      <c r="AF22" s="269">
        <f t="shared" si="6"/>
        <v>0</v>
      </c>
      <c r="AG22" s="209">
        <f t="shared" si="7"/>
        <v>0</v>
      </c>
      <c r="AH22" s="209">
        <f t="shared" si="8"/>
        <v>0</v>
      </c>
      <c r="AI22" s="219">
        <f t="shared" si="0"/>
        <v>0</v>
      </c>
      <c r="AJ22" s="425">
        <f t="shared" si="1"/>
        <v>0</v>
      </c>
      <c r="AK22" s="57">
        <f t="shared" si="18"/>
        <v>0</v>
      </c>
      <c r="AL22" s="57">
        <f t="shared" si="9"/>
        <v>0</v>
      </c>
      <c r="AM22" s="58">
        <f t="shared" si="2"/>
        <v>0</v>
      </c>
      <c r="AN22" s="57">
        <f t="shared" si="19"/>
        <v>0</v>
      </c>
      <c r="AO22" s="432">
        <f t="shared" si="20"/>
        <v>0</v>
      </c>
      <c r="AP22" s="90">
        <f>_xlfn.IFERROR(IF(Simulador!$U$30=1,0,IF($AK22&lt;=0,0,$AK22*Simulador!$AA$43)),0)+_xlfn.IFERROR(IF(Simulador!$U$30=1,0,IF($AK22&lt;=0,0,IF(Simulador!$D$22&gt;0,Simulador!$D$22,Simulador!$O$24)*Simulador!$AA$44)),0)</f>
        <v>0</v>
      </c>
      <c r="AQ22" s="90">
        <f t="shared" si="10"/>
        <v>0</v>
      </c>
      <c r="AR22" s="26">
        <f t="shared" si="16"/>
        <v>0</v>
      </c>
      <c r="AS22">
        <f t="shared" si="11"/>
        <v>0</v>
      </c>
      <c r="AT22" s="549">
        <f t="shared" si="17"/>
      </c>
      <c r="AU22" s="404">
        <f t="shared" si="12"/>
        <v>0</v>
      </c>
      <c r="AV22" s="52">
        <v>8</v>
      </c>
      <c r="AW22" s="27"/>
      <c r="AZ22" s="52"/>
      <c r="BB22" s="426"/>
      <c r="BC22" s="431"/>
    </row>
    <row r="23" spans="1:55" ht="12.75">
      <c r="A23" s="503">
        <v>9</v>
      </c>
      <c r="B23" s="89">
        <f t="shared" si="13"/>
        <v>0</v>
      </c>
      <c r="C23" s="89"/>
      <c r="D23" s="90">
        <f>IF(B23+F23-D22&lt;=0,B23+F23,IF(AND(Simulador!$U$62=1,$AF$3=2),B23*AJ23,D22))</f>
        <v>0</v>
      </c>
      <c r="E23" s="90"/>
      <c r="F23" s="90">
        <f t="shared" si="3"/>
        <v>0</v>
      </c>
      <c r="G23" s="90"/>
      <c r="H23" s="90">
        <f t="shared" si="14"/>
        <v>0</v>
      </c>
      <c r="I23" s="91"/>
      <c r="J23" s="92"/>
      <c r="K23" s="91"/>
      <c r="L23" s="90">
        <f>IF(Simulador!$T$41=1,0,J23*Simulador!$W$39*1.16)</f>
        <v>0</v>
      </c>
      <c r="M23" s="90"/>
      <c r="N23" s="94"/>
      <c r="O23" s="12"/>
      <c r="P23" s="544">
        <f t="shared" si="15"/>
        <v>0</v>
      </c>
      <c r="Q23" s="4"/>
      <c r="R23" s="90">
        <f t="shared" si="4"/>
        <v>0</v>
      </c>
      <c r="S23" s="90"/>
      <c r="T23" s="90">
        <f>_xlfn.IFERROR(IF(Simulador!$U$30=1,0,IF($B23&lt;=0,0,$B23*Simulador!$AA$43)),0)</f>
        <v>0</v>
      </c>
      <c r="U23" s="90"/>
      <c r="V23" s="90">
        <f>_xlfn.IFERROR(IF(Simulador!$U$30=1,0,IF($B23&lt;=0,0,IF(Simulador!$D$22&gt;0,Simulador!$D$22,Simulador!$O$24)*Simulador!$AA$44)),0)</f>
        <v>0</v>
      </c>
      <c r="W23" s="90"/>
      <c r="X23" s="90"/>
      <c r="Y23" s="90">
        <f t="shared" si="5"/>
        <v>0</v>
      </c>
      <c r="Z23" s="13"/>
      <c r="AA23" s="15"/>
      <c r="AB23" s="17"/>
      <c r="AC23" s="364"/>
      <c r="AD23" s="219">
        <v>0</v>
      </c>
      <c r="AE23" s="221">
        <v>9</v>
      </c>
      <c r="AF23" s="269">
        <f t="shared" si="6"/>
        <v>0</v>
      </c>
      <c r="AG23" s="209">
        <f t="shared" si="7"/>
        <v>0</v>
      </c>
      <c r="AH23" s="209">
        <f t="shared" si="8"/>
        <v>0</v>
      </c>
      <c r="AI23" s="219">
        <f t="shared" si="0"/>
        <v>0</v>
      </c>
      <c r="AJ23" s="425">
        <f t="shared" si="1"/>
        <v>0</v>
      </c>
      <c r="AK23" s="57">
        <f t="shared" si="18"/>
        <v>0</v>
      </c>
      <c r="AL23" s="57">
        <f t="shared" si="9"/>
        <v>0</v>
      </c>
      <c r="AM23" s="58">
        <f t="shared" si="2"/>
        <v>0</v>
      </c>
      <c r="AN23" s="57">
        <f t="shared" si="19"/>
        <v>0</v>
      </c>
      <c r="AO23" s="432">
        <f t="shared" si="20"/>
        <v>0</v>
      </c>
      <c r="AP23" s="90">
        <f>_xlfn.IFERROR(IF(Simulador!$U$30=1,0,IF($AK23&lt;=0,0,$AK23*Simulador!$AA$43)),0)+_xlfn.IFERROR(IF(Simulador!$U$30=1,0,IF($AK23&lt;=0,0,IF(Simulador!$D$22&gt;0,Simulador!$D$22,Simulador!$O$24)*Simulador!$AA$44)),0)</f>
        <v>0</v>
      </c>
      <c r="AQ23" s="90">
        <f t="shared" si="10"/>
        <v>0</v>
      </c>
      <c r="AR23" s="26">
        <f t="shared" si="16"/>
        <v>0</v>
      </c>
      <c r="AS23">
        <f t="shared" si="11"/>
        <v>0</v>
      </c>
      <c r="AT23" s="549">
        <f t="shared" si="17"/>
      </c>
      <c r="AU23" s="404">
        <f t="shared" si="12"/>
        <v>0</v>
      </c>
      <c r="AV23" s="52">
        <v>9</v>
      </c>
      <c r="AW23" s="27"/>
      <c r="AZ23" s="52"/>
      <c r="BB23" s="426"/>
      <c r="BC23" s="431"/>
    </row>
    <row r="24" spans="1:52" ht="12.75">
      <c r="A24" s="503">
        <v>10</v>
      </c>
      <c r="B24" s="89">
        <f t="shared" si="13"/>
        <v>0</v>
      </c>
      <c r="C24" s="89"/>
      <c r="D24" s="90">
        <f>IF(B24+F24-D23&lt;=0,B24+F24,IF(AND(Simulador!$U$62=1,$AF$3=2),B24*AJ24,D23))</f>
        <v>0</v>
      </c>
      <c r="E24" s="90"/>
      <c r="F24" s="90">
        <f t="shared" si="3"/>
        <v>0</v>
      </c>
      <c r="G24" s="90"/>
      <c r="H24" s="90">
        <f t="shared" si="14"/>
        <v>0</v>
      </c>
      <c r="I24" s="91"/>
      <c r="J24" s="92"/>
      <c r="K24" s="91"/>
      <c r="L24" s="90">
        <f>IF(Simulador!$T$41=1,0,J24*Simulador!$W$39*1.16)</f>
        <v>0</v>
      </c>
      <c r="M24" s="90"/>
      <c r="N24" s="93">
        <f>IF(B24-H24=0,0,N22)</f>
        <v>0</v>
      </c>
      <c r="O24" s="12"/>
      <c r="P24" s="544">
        <f t="shared" si="15"/>
        <v>0</v>
      </c>
      <c r="Q24" s="4"/>
      <c r="R24" s="90">
        <f t="shared" si="4"/>
        <v>0</v>
      </c>
      <c r="S24" s="90"/>
      <c r="T24" s="90">
        <f>_xlfn.IFERROR(IF(Simulador!$U$30=1,0,IF($B24&lt;=0,0,$B24*Simulador!$AA$43)),0)</f>
        <v>0</v>
      </c>
      <c r="U24" s="90"/>
      <c r="V24" s="90">
        <f>_xlfn.IFERROR(IF(Simulador!$U$30=1,0,IF($B24&lt;=0,0,IF(Simulador!$D$22&gt;0,Simulador!$D$22,Simulador!$O$24)*Simulador!$AA$44)),0)</f>
        <v>0</v>
      </c>
      <c r="W24" s="90"/>
      <c r="X24" s="90"/>
      <c r="Y24" s="90">
        <f t="shared" si="5"/>
        <v>0</v>
      </c>
      <c r="Z24" s="13"/>
      <c r="AA24" s="15"/>
      <c r="AB24" s="17"/>
      <c r="AC24" s="364"/>
      <c r="AD24" s="219">
        <v>0</v>
      </c>
      <c r="AE24" s="221">
        <v>10</v>
      </c>
      <c r="AF24" s="269">
        <f t="shared" si="6"/>
        <v>0</v>
      </c>
      <c r="AG24" s="209">
        <f t="shared" si="7"/>
        <v>0</v>
      </c>
      <c r="AH24" s="209">
        <f t="shared" si="8"/>
        <v>0</v>
      </c>
      <c r="AI24" s="219">
        <f t="shared" si="0"/>
        <v>0</v>
      </c>
      <c r="AJ24" s="425">
        <f aca="true" t="shared" si="21" ref="AJ24:AJ79">_xlfn.IFERROR((AL24/AK24),0)</f>
        <v>0</v>
      </c>
      <c r="AK24" s="57">
        <f>+AO23</f>
        <v>0</v>
      </c>
      <c r="AL24" s="57">
        <f t="shared" si="9"/>
        <v>0</v>
      </c>
      <c r="AM24" s="58">
        <f t="shared" si="2"/>
        <v>0</v>
      </c>
      <c r="AN24" s="57">
        <f t="shared" si="19"/>
        <v>0</v>
      </c>
      <c r="AO24" s="432">
        <f>+AK24-AN24</f>
        <v>0</v>
      </c>
      <c r="AP24" s="90">
        <f>_xlfn.IFERROR(IF(Simulador!$U$30=1,0,IF($AK24&lt;=0,0,$AK24*Simulador!$AA$43)),0)+_xlfn.IFERROR(IF(Simulador!$U$30=1,0,IF($AK24&lt;=0,0,IF(Simulador!$D$22&gt;0,Simulador!$D$22,Simulador!$O$24)*Simulador!$AA$44)),0)</f>
        <v>0</v>
      </c>
      <c r="AQ24" s="90">
        <f t="shared" si="10"/>
        <v>0</v>
      </c>
      <c r="AR24" s="26">
        <f t="shared" si="16"/>
        <v>0</v>
      </c>
      <c r="AS24">
        <f t="shared" si="11"/>
        <v>0</v>
      </c>
      <c r="AT24" s="549">
        <f t="shared" si="17"/>
      </c>
      <c r="AU24" s="404">
        <f t="shared" si="12"/>
        <v>0</v>
      </c>
      <c r="AV24" s="52">
        <v>10</v>
      </c>
      <c r="AW24" s="27"/>
      <c r="AZ24" s="52"/>
    </row>
    <row r="25" spans="1:52" ht="12.75">
      <c r="A25" s="503">
        <v>11</v>
      </c>
      <c r="B25" s="89">
        <f t="shared" si="13"/>
        <v>0</v>
      </c>
      <c r="C25" s="89"/>
      <c r="D25" s="90">
        <f>IF(B25+F25-D24&lt;=0,B25+F25,IF(AND(Simulador!$U$62=1,$AF$3=2),B25*AJ25,D24))</f>
        <v>0</v>
      </c>
      <c r="E25" s="90"/>
      <c r="F25" s="90">
        <f t="shared" si="3"/>
        <v>0</v>
      </c>
      <c r="G25" s="90"/>
      <c r="H25" s="90">
        <f t="shared" si="14"/>
        <v>0</v>
      </c>
      <c r="I25" s="91"/>
      <c r="J25" s="92"/>
      <c r="K25" s="91"/>
      <c r="L25" s="90">
        <f>IF(Simulador!$T$41=1,0,J25*Simulador!$W$39*1.16)</f>
        <v>0</v>
      </c>
      <c r="M25" s="90"/>
      <c r="N25" s="94"/>
      <c r="O25" s="12"/>
      <c r="P25" s="544">
        <f t="shared" si="15"/>
        <v>0</v>
      </c>
      <c r="Q25" s="4"/>
      <c r="R25" s="90">
        <f t="shared" si="4"/>
        <v>0</v>
      </c>
      <c r="S25" s="90"/>
      <c r="T25" s="90">
        <f>_xlfn.IFERROR(IF(Simulador!$U$30=1,0,IF($B25&lt;=0,0,$B25*Simulador!$AA$43)),0)</f>
        <v>0</v>
      </c>
      <c r="U25" s="90"/>
      <c r="V25" s="90">
        <f>_xlfn.IFERROR(IF(Simulador!$U$30=1,0,IF($B25&lt;=0,0,IF(Simulador!$D$22&gt;0,Simulador!$D$22,Simulador!$O$24)*Simulador!$AA$44)),0)</f>
        <v>0</v>
      </c>
      <c r="W25" s="90"/>
      <c r="X25" s="90"/>
      <c r="Y25" s="90">
        <f t="shared" si="5"/>
        <v>0</v>
      </c>
      <c r="Z25" s="13"/>
      <c r="AA25" s="15"/>
      <c r="AB25" s="6"/>
      <c r="AC25" s="364"/>
      <c r="AD25" s="219">
        <v>0</v>
      </c>
      <c r="AE25" s="219">
        <v>11</v>
      </c>
      <c r="AF25" s="269">
        <f t="shared" si="6"/>
        <v>0</v>
      </c>
      <c r="AG25" s="209">
        <f t="shared" si="7"/>
        <v>0</v>
      </c>
      <c r="AH25" s="209">
        <f t="shared" si="8"/>
        <v>0</v>
      </c>
      <c r="AI25" s="219">
        <f t="shared" si="0"/>
        <v>0</v>
      </c>
      <c r="AJ25" s="425">
        <f t="shared" si="21"/>
        <v>0</v>
      </c>
      <c r="AK25" s="57">
        <f t="shared" si="18"/>
        <v>0</v>
      </c>
      <c r="AL25" s="57">
        <f t="shared" si="9"/>
        <v>0</v>
      </c>
      <c r="AM25" s="58">
        <f t="shared" si="2"/>
        <v>0</v>
      </c>
      <c r="AN25" s="57">
        <f t="shared" si="19"/>
        <v>0</v>
      </c>
      <c r="AO25" s="432">
        <f t="shared" si="20"/>
        <v>0</v>
      </c>
      <c r="AP25" s="90">
        <f>_xlfn.IFERROR(IF(Simulador!$U$30=1,0,IF($AK25&lt;=0,0,$AK25*Simulador!$AA$43)),0)+_xlfn.IFERROR(IF(Simulador!$U$30=1,0,IF($AK25&lt;=0,0,IF(Simulador!$D$22&gt;0,Simulador!$D$22,Simulador!$O$24)*Simulador!$AA$44)),0)</f>
        <v>0</v>
      </c>
      <c r="AQ25" s="90">
        <f t="shared" si="10"/>
        <v>0</v>
      </c>
      <c r="AR25" s="26">
        <f t="shared" si="16"/>
        <v>0</v>
      </c>
      <c r="AS25">
        <f t="shared" si="11"/>
        <v>0</v>
      </c>
      <c r="AT25" s="549">
        <f t="shared" si="17"/>
      </c>
      <c r="AU25" s="404">
        <f t="shared" si="12"/>
        <v>0</v>
      </c>
      <c r="AV25" s="52">
        <v>11</v>
      </c>
      <c r="AW25" s="27"/>
      <c r="AZ25" s="52"/>
    </row>
    <row r="26" spans="1:52" ht="12.75">
      <c r="A26" s="503">
        <v>12</v>
      </c>
      <c r="B26" s="89">
        <f t="shared" si="13"/>
        <v>0</v>
      </c>
      <c r="C26" s="89"/>
      <c r="D26" s="90">
        <f>IF(B26+F26-D25&lt;=0,B26+F26,IF(AND(Simulador!$U$62=1,$AF$3=2),B26*AJ26,D25))</f>
        <v>0</v>
      </c>
      <c r="E26" s="90"/>
      <c r="F26" s="90">
        <f t="shared" si="3"/>
        <v>0</v>
      </c>
      <c r="G26" s="90"/>
      <c r="H26" s="90">
        <f t="shared" si="14"/>
        <v>0</v>
      </c>
      <c r="I26" s="91"/>
      <c r="J26" s="92"/>
      <c r="K26" s="91"/>
      <c r="L26" s="90">
        <f>IF(Simulador!$T$41=1,0,J26*Simulador!$W$39*1.16)</f>
        <v>0</v>
      </c>
      <c r="M26" s="90"/>
      <c r="N26" s="93">
        <f>IF(B26-H26=0,0,N24)</f>
        <v>0</v>
      </c>
      <c r="O26" s="12"/>
      <c r="P26" s="544">
        <f t="shared" si="15"/>
        <v>0</v>
      </c>
      <c r="Q26" s="4"/>
      <c r="R26" s="90">
        <f t="shared" si="4"/>
        <v>0</v>
      </c>
      <c r="S26" s="90"/>
      <c r="T26" s="90">
        <f>_xlfn.IFERROR(IF(Simulador!$U$30=1,0,IF($B26&lt;=0,0,$B26*Simulador!$AA$43)),0)</f>
        <v>0</v>
      </c>
      <c r="U26" s="90"/>
      <c r="V26" s="90">
        <f>_xlfn.IFERROR(IF(Simulador!$U$30=1,0,IF($B26&lt;=0,0,IF(Simulador!$D$22&gt;0,Simulador!$D$22,Simulador!$O$24)*Simulador!$AA$44)),0)</f>
        <v>0</v>
      </c>
      <c r="W26" s="90"/>
      <c r="X26" s="90"/>
      <c r="Y26" s="90">
        <f t="shared" si="5"/>
        <v>0</v>
      </c>
      <c r="Z26" s="13"/>
      <c r="AA26" s="15"/>
      <c r="AB26" s="6"/>
      <c r="AC26" s="364"/>
      <c r="AD26" s="219">
        <v>1</v>
      </c>
      <c r="AE26" s="219">
        <v>0</v>
      </c>
      <c r="AF26" s="269">
        <f t="shared" si="6"/>
        <v>0</v>
      </c>
      <c r="AG26" s="209">
        <f t="shared" si="7"/>
        <v>0</v>
      </c>
      <c r="AH26" s="209">
        <f t="shared" si="8"/>
        <v>0</v>
      </c>
      <c r="AI26" s="219">
        <f t="shared" si="0"/>
        <v>0</v>
      </c>
      <c r="AJ26" s="425">
        <f t="shared" si="21"/>
        <v>0</v>
      </c>
      <c r="AK26" s="57">
        <f t="shared" si="18"/>
        <v>0</v>
      </c>
      <c r="AL26" s="57">
        <f t="shared" si="9"/>
        <v>0</v>
      </c>
      <c r="AM26" s="58">
        <f t="shared" si="2"/>
        <v>0</v>
      </c>
      <c r="AN26" s="57">
        <f t="shared" si="19"/>
        <v>0</v>
      </c>
      <c r="AO26" s="432">
        <f t="shared" si="20"/>
        <v>0</v>
      </c>
      <c r="AP26" s="90">
        <f>_xlfn.IFERROR(IF(Simulador!$U$30=1,0,IF($AK26&lt;=0,0,$AK26*Simulador!$AA$43)),0)+_xlfn.IFERROR(IF(Simulador!$U$30=1,0,IF($AK26&lt;=0,0,IF(Simulador!$D$22&gt;0,Simulador!$D$22,Simulador!$O$24)*Simulador!$AA$44)),0)</f>
        <v>0</v>
      </c>
      <c r="AQ26" s="90">
        <f t="shared" si="10"/>
        <v>0</v>
      </c>
      <c r="AR26" s="26">
        <f t="shared" si="16"/>
        <v>0</v>
      </c>
      <c r="AS26">
        <f t="shared" si="11"/>
        <v>0</v>
      </c>
      <c r="AT26" s="549">
        <f t="shared" si="17"/>
      </c>
      <c r="AU26" s="404">
        <f t="shared" si="12"/>
        <v>0</v>
      </c>
      <c r="AV26" s="52">
        <v>12</v>
      </c>
      <c r="AW26" s="27"/>
      <c r="AZ26" s="52"/>
    </row>
    <row r="27" spans="1:52" ht="12.75">
      <c r="A27" s="503">
        <v>13</v>
      </c>
      <c r="B27" s="89">
        <f t="shared" si="13"/>
        <v>0</v>
      </c>
      <c r="C27" s="89"/>
      <c r="D27" s="90">
        <f>IF(B27+F27-D26&lt;=0,B27+F27,IF(AND(Simulador!$U$62=1,$AF$3=2),B27*AJ27,D26))</f>
        <v>0</v>
      </c>
      <c r="E27" s="90"/>
      <c r="F27" s="90">
        <f t="shared" si="3"/>
        <v>0</v>
      </c>
      <c r="G27" s="90"/>
      <c r="H27" s="90">
        <f t="shared" si="14"/>
        <v>0</v>
      </c>
      <c r="I27" s="91"/>
      <c r="J27" s="92"/>
      <c r="K27" s="91"/>
      <c r="L27" s="90">
        <f>IF(Simulador!$T$41=1,0,J27*Simulador!$W$39*1.16)</f>
        <v>0</v>
      </c>
      <c r="M27" s="90"/>
      <c r="N27" s="94"/>
      <c r="O27" s="12"/>
      <c r="P27" s="544">
        <f t="shared" si="15"/>
        <v>0</v>
      </c>
      <c r="Q27" s="4"/>
      <c r="R27" s="90">
        <f t="shared" si="4"/>
        <v>0</v>
      </c>
      <c r="S27" s="90"/>
      <c r="T27" s="90">
        <f>_xlfn.IFERROR(IF(Simulador!$U$30=1,0,IF($B27&lt;=0,0,$B27*Simulador!$AA$43)),0)</f>
        <v>0</v>
      </c>
      <c r="U27" s="90"/>
      <c r="V27" s="90">
        <f>_xlfn.IFERROR(IF(Simulador!$U$30=1,0,IF($B27&lt;=0,0,IF(Simulador!$D$22&gt;0,Simulador!$D$22,Simulador!$O$24)*Simulador!$AA$44)),0)</f>
        <v>0</v>
      </c>
      <c r="W27" s="90"/>
      <c r="X27" s="90"/>
      <c r="Y27" s="90">
        <f t="shared" si="5"/>
        <v>0</v>
      </c>
      <c r="Z27" s="13"/>
      <c r="AA27" s="18">
        <f>IF(B27&lt;=0,0,Simulador!$I$45)</f>
        <v>0</v>
      </c>
      <c r="AB27" s="11"/>
      <c r="AC27" s="364"/>
      <c r="AD27" s="219">
        <v>1</v>
      </c>
      <c r="AE27" s="219">
        <v>1</v>
      </c>
      <c r="AF27" s="269">
        <f t="shared" si="6"/>
        <v>0</v>
      </c>
      <c r="AG27" s="209">
        <f t="shared" si="7"/>
        <v>0</v>
      </c>
      <c r="AH27" s="209">
        <f t="shared" si="8"/>
        <v>0</v>
      </c>
      <c r="AI27" s="219">
        <f t="shared" si="0"/>
        <v>0</v>
      </c>
      <c r="AJ27" s="425">
        <f t="shared" si="21"/>
        <v>0</v>
      </c>
      <c r="AK27" s="57">
        <f t="shared" si="18"/>
        <v>0</v>
      </c>
      <c r="AL27" s="57">
        <f t="shared" si="9"/>
        <v>0</v>
      </c>
      <c r="AM27" s="58">
        <f t="shared" si="2"/>
        <v>0</v>
      </c>
      <c r="AN27" s="57">
        <f t="shared" si="19"/>
        <v>0</v>
      </c>
      <c r="AO27" s="432">
        <f t="shared" si="20"/>
        <v>0</v>
      </c>
      <c r="AP27" s="90">
        <f>_xlfn.IFERROR(IF(Simulador!$U$30=1,0,IF($AK27&lt;=0,0,$AK27*Simulador!$AA$43)),0)+_xlfn.IFERROR(IF(Simulador!$U$30=1,0,IF($AK27&lt;=0,0,IF(Simulador!$D$22&gt;0,Simulador!$D$22,Simulador!$O$24)*Simulador!$AA$44)),0)</f>
        <v>0</v>
      </c>
      <c r="AQ27" s="90">
        <f t="shared" si="10"/>
        <v>0</v>
      </c>
      <c r="AR27" s="26">
        <f t="shared" si="16"/>
        <v>0</v>
      </c>
      <c r="AS27">
        <f t="shared" si="11"/>
        <v>0</v>
      </c>
      <c r="AT27" s="549">
        <f t="shared" si="17"/>
      </c>
      <c r="AU27" s="404">
        <f t="shared" si="12"/>
        <v>0</v>
      </c>
      <c r="AV27" s="52">
        <v>13</v>
      </c>
      <c r="AW27" s="27"/>
      <c r="AZ27" s="52"/>
    </row>
    <row r="28" spans="1:52" ht="12.75">
      <c r="A28" s="503">
        <v>14</v>
      </c>
      <c r="B28" s="89">
        <f t="shared" si="13"/>
        <v>0</v>
      </c>
      <c r="C28" s="89"/>
      <c r="D28" s="90">
        <f>IF(B28+F28-D27&lt;=0,B28+F28,IF(AND(Simulador!$U$62=1,$AF$3=2),B28*AJ28,D27))</f>
        <v>0</v>
      </c>
      <c r="E28" s="90"/>
      <c r="F28" s="90">
        <f t="shared" si="3"/>
        <v>0</v>
      </c>
      <c r="G28" s="90"/>
      <c r="H28" s="90">
        <f t="shared" si="14"/>
        <v>0</v>
      </c>
      <c r="I28" s="91"/>
      <c r="J28" s="92"/>
      <c r="K28" s="91"/>
      <c r="L28" s="90">
        <f>IF(Simulador!$T$41=1,0,J28*Simulador!$W$39*1.16)</f>
        <v>0</v>
      </c>
      <c r="M28" s="90"/>
      <c r="N28" s="93">
        <f>IF(B28-H28=0,0,N26*(1+(Simulador!$AH$72)))</f>
        <v>0</v>
      </c>
      <c r="O28" s="12"/>
      <c r="P28" s="544">
        <f t="shared" si="15"/>
        <v>0</v>
      </c>
      <c r="Q28" s="4"/>
      <c r="R28" s="90">
        <f t="shared" si="4"/>
        <v>0</v>
      </c>
      <c r="S28" s="90"/>
      <c r="T28" s="90">
        <f>_xlfn.IFERROR(IF(Simulador!$U$30=1,0,IF($B28&lt;=0,0,$B28*Simulador!$AA$43)),0)</f>
        <v>0</v>
      </c>
      <c r="U28" s="90"/>
      <c r="V28" s="90">
        <f>_xlfn.IFERROR(IF(Simulador!$U$30=1,0,IF($B28&lt;=0,0,IF(Simulador!$D$22&gt;0,Simulador!$D$22,Simulador!$O$24)*Simulador!$AA$44)),0)</f>
        <v>0</v>
      </c>
      <c r="W28" s="90"/>
      <c r="X28" s="90"/>
      <c r="Y28" s="90">
        <f t="shared" si="5"/>
        <v>0</v>
      </c>
      <c r="Z28" s="13"/>
      <c r="AA28" s="15"/>
      <c r="AB28" s="19"/>
      <c r="AC28" s="364"/>
      <c r="AD28" s="219">
        <v>1</v>
      </c>
      <c r="AE28" s="220">
        <v>2</v>
      </c>
      <c r="AF28" s="269">
        <f t="shared" si="6"/>
        <v>0</v>
      </c>
      <c r="AG28" s="209">
        <f t="shared" si="7"/>
        <v>0</v>
      </c>
      <c r="AH28" s="209">
        <f t="shared" si="8"/>
        <v>0</v>
      </c>
      <c r="AI28" s="219">
        <f t="shared" si="0"/>
        <v>0</v>
      </c>
      <c r="AJ28" s="425">
        <f t="shared" si="21"/>
        <v>0</v>
      </c>
      <c r="AK28" s="57">
        <f t="shared" si="18"/>
        <v>0</v>
      </c>
      <c r="AL28" s="57">
        <f t="shared" si="9"/>
        <v>0</v>
      </c>
      <c r="AM28" s="58">
        <f t="shared" si="2"/>
        <v>0</v>
      </c>
      <c r="AN28" s="57">
        <f t="shared" si="19"/>
        <v>0</v>
      </c>
      <c r="AO28" s="432">
        <f t="shared" si="20"/>
        <v>0</v>
      </c>
      <c r="AP28" s="90">
        <f>_xlfn.IFERROR(IF(Simulador!$U$30=1,0,IF($AK28&lt;=0,0,$AK28*Simulador!$AA$43)),0)+_xlfn.IFERROR(IF(Simulador!$U$30=1,0,IF($AK28&lt;=0,0,IF(Simulador!$D$22&gt;0,Simulador!$D$22,Simulador!$O$24)*Simulador!$AA$44)),0)</f>
        <v>0</v>
      </c>
      <c r="AQ28" s="90">
        <f t="shared" si="10"/>
        <v>0</v>
      </c>
      <c r="AR28" s="26">
        <f t="shared" si="16"/>
        <v>0</v>
      </c>
      <c r="AS28">
        <f t="shared" si="11"/>
        <v>0</v>
      </c>
      <c r="AT28" s="549">
        <f t="shared" si="17"/>
      </c>
      <c r="AU28" s="404">
        <f t="shared" si="12"/>
        <v>0</v>
      </c>
      <c r="AV28" s="52">
        <v>14</v>
      </c>
      <c r="AW28" s="27"/>
      <c r="AZ28" s="52"/>
    </row>
    <row r="29" spans="1:52" ht="12.75">
      <c r="A29" s="503">
        <v>15</v>
      </c>
      <c r="B29" s="89">
        <f t="shared" si="13"/>
        <v>0</v>
      </c>
      <c r="C29" s="89"/>
      <c r="D29" s="90">
        <f>IF(B29+F29-D28&lt;=0,B29+F29,IF(AND(Simulador!$U$62=1,$AF$3=2),B29*AJ29,D28))</f>
        <v>0</v>
      </c>
      <c r="E29" s="90"/>
      <c r="F29" s="90">
        <f t="shared" si="3"/>
        <v>0</v>
      </c>
      <c r="G29" s="90"/>
      <c r="H29" s="90">
        <f t="shared" si="14"/>
        <v>0</v>
      </c>
      <c r="I29" s="91"/>
      <c r="J29" s="92"/>
      <c r="K29" s="91"/>
      <c r="L29" s="90">
        <f>IF(Simulador!$T$41=1,0,J29*Simulador!$W$39*1.16)</f>
        <v>0</v>
      </c>
      <c r="M29" s="90"/>
      <c r="N29" s="94"/>
      <c r="O29" s="12"/>
      <c r="P29" s="544">
        <f t="shared" si="15"/>
        <v>0</v>
      </c>
      <c r="Q29" s="4"/>
      <c r="R29" s="90">
        <f t="shared" si="4"/>
        <v>0</v>
      </c>
      <c r="S29" s="90"/>
      <c r="T29" s="90">
        <f>_xlfn.IFERROR(IF(Simulador!$U$30=1,0,IF($B29&lt;=0,0,$B29*Simulador!$AA$43)),0)</f>
        <v>0</v>
      </c>
      <c r="U29" s="90"/>
      <c r="V29" s="90">
        <f>_xlfn.IFERROR(IF(Simulador!$U$30=1,0,IF($B29&lt;=0,0,IF(Simulador!$D$22&gt;0,Simulador!$D$22,Simulador!$O$24)*Simulador!$AA$44)),0)</f>
        <v>0</v>
      </c>
      <c r="W29" s="90"/>
      <c r="X29" s="90"/>
      <c r="Y29" s="90">
        <f t="shared" si="5"/>
        <v>0</v>
      </c>
      <c r="Z29" s="13"/>
      <c r="AA29" s="15"/>
      <c r="AB29" s="19"/>
      <c r="AC29" s="364"/>
      <c r="AD29" s="219">
        <v>1</v>
      </c>
      <c r="AE29" s="220">
        <v>3</v>
      </c>
      <c r="AF29" s="269">
        <f t="shared" si="6"/>
        <v>0</v>
      </c>
      <c r="AG29" s="209">
        <f t="shared" si="7"/>
        <v>0</v>
      </c>
      <c r="AH29" s="209">
        <f t="shared" si="8"/>
        <v>0</v>
      </c>
      <c r="AI29" s="219">
        <f t="shared" si="0"/>
        <v>0</v>
      </c>
      <c r="AJ29" s="425">
        <f t="shared" si="21"/>
        <v>0</v>
      </c>
      <c r="AK29" s="57">
        <f t="shared" si="18"/>
        <v>0</v>
      </c>
      <c r="AL29" s="57">
        <f t="shared" si="9"/>
        <v>0</v>
      </c>
      <c r="AM29" s="58">
        <f t="shared" si="2"/>
        <v>0</v>
      </c>
      <c r="AN29" s="57">
        <f t="shared" si="19"/>
        <v>0</v>
      </c>
      <c r="AO29" s="432">
        <f t="shared" si="20"/>
        <v>0</v>
      </c>
      <c r="AP29" s="90">
        <f>_xlfn.IFERROR(IF(Simulador!$U$30=1,0,IF($AK29&lt;=0,0,$AK29*Simulador!$AA$43)),0)+_xlfn.IFERROR(IF(Simulador!$U$30=1,0,IF($AK29&lt;=0,0,IF(Simulador!$D$22&gt;0,Simulador!$D$22,Simulador!$O$24)*Simulador!$AA$44)),0)</f>
        <v>0</v>
      </c>
      <c r="AQ29" s="90">
        <f t="shared" si="10"/>
        <v>0</v>
      </c>
      <c r="AR29" s="26">
        <f t="shared" si="16"/>
        <v>0</v>
      </c>
      <c r="AS29">
        <f t="shared" si="11"/>
        <v>0</v>
      </c>
      <c r="AT29" s="549">
        <f t="shared" si="17"/>
      </c>
      <c r="AU29" s="404">
        <f t="shared" si="12"/>
        <v>0</v>
      </c>
      <c r="AV29" s="52">
        <v>15</v>
      </c>
      <c r="AW29" s="27"/>
      <c r="AZ29" s="52"/>
    </row>
    <row r="30" spans="1:52" ht="12.75">
      <c r="A30" s="504">
        <v>16</v>
      </c>
      <c r="B30" s="89">
        <f t="shared" si="13"/>
        <v>0</v>
      </c>
      <c r="C30" s="89"/>
      <c r="D30" s="90">
        <f>IF(B30+F30-D29&lt;=0,B30+F30,IF(AND(Simulador!$U$62=1,$AF$3=2),B30*AJ30,D29))</f>
        <v>0</v>
      </c>
      <c r="E30" s="90"/>
      <c r="F30" s="90">
        <f t="shared" si="3"/>
        <v>0</v>
      </c>
      <c r="G30" s="90"/>
      <c r="H30" s="90">
        <f t="shared" si="14"/>
        <v>0</v>
      </c>
      <c r="I30" s="91"/>
      <c r="J30" s="92"/>
      <c r="K30" s="91"/>
      <c r="L30" s="90">
        <f>IF(Simulador!$T$41=1,0,J30*Simulador!$W$39*1.16)</f>
        <v>0</v>
      </c>
      <c r="M30" s="90"/>
      <c r="N30" s="93">
        <f>IF(B30-H30=0,0,N28)</f>
        <v>0</v>
      </c>
      <c r="O30" s="12"/>
      <c r="P30" s="544">
        <f t="shared" si="15"/>
        <v>0</v>
      </c>
      <c r="Q30" s="4"/>
      <c r="R30" s="90">
        <f t="shared" si="4"/>
        <v>0</v>
      </c>
      <c r="S30" s="90"/>
      <c r="T30" s="90">
        <f>_xlfn.IFERROR(IF(Simulador!$U$30=1,0,IF($B30&lt;=0,0,$B30*Simulador!$AA$43)),0)</f>
        <v>0</v>
      </c>
      <c r="U30" s="90"/>
      <c r="V30" s="90">
        <f>_xlfn.IFERROR(IF(Simulador!$U$30=1,0,IF($B30&lt;=0,0,IF(Simulador!$D$22&gt;0,Simulador!$D$22,Simulador!$O$24)*Simulador!$AA$44)),0)</f>
        <v>0</v>
      </c>
      <c r="W30" s="90"/>
      <c r="X30" s="90"/>
      <c r="Y30" s="90">
        <f t="shared" si="5"/>
        <v>0</v>
      </c>
      <c r="Z30" s="13"/>
      <c r="AA30" s="20"/>
      <c r="AB30" s="21"/>
      <c r="AC30" s="364"/>
      <c r="AD30" s="219">
        <v>1</v>
      </c>
      <c r="AE30" s="219">
        <v>4</v>
      </c>
      <c r="AF30" s="269">
        <f t="shared" si="6"/>
        <v>0</v>
      </c>
      <c r="AG30" s="209">
        <f t="shared" si="7"/>
        <v>0</v>
      </c>
      <c r="AH30" s="209">
        <f t="shared" si="8"/>
        <v>0</v>
      </c>
      <c r="AI30" s="219">
        <f t="shared" si="0"/>
        <v>0</v>
      </c>
      <c r="AJ30" s="425">
        <f t="shared" si="21"/>
        <v>0</v>
      </c>
      <c r="AK30" s="57">
        <f t="shared" si="18"/>
        <v>0</v>
      </c>
      <c r="AL30" s="57">
        <f t="shared" si="9"/>
        <v>0</v>
      </c>
      <c r="AM30" s="58">
        <f t="shared" si="2"/>
        <v>0</v>
      </c>
      <c r="AN30" s="57">
        <f t="shared" si="19"/>
        <v>0</v>
      </c>
      <c r="AO30" s="432">
        <f t="shared" si="20"/>
        <v>0</v>
      </c>
      <c r="AP30" s="90">
        <f>_xlfn.IFERROR(IF(Simulador!$U$30=1,0,IF($AK30&lt;=0,0,$AK30*Simulador!$AA$43)),0)+_xlfn.IFERROR(IF(Simulador!$U$30=1,0,IF($AK30&lt;=0,0,IF(Simulador!$D$22&gt;0,Simulador!$D$22,Simulador!$O$24)*Simulador!$AA$44)),0)</f>
        <v>0</v>
      </c>
      <c r="AQ30" s="90">
        <f t="shared" si="10"/>
        <v>0</v>
      </c>
      <c r="AR30" s="26">
        <f t="shared" si="16"/>
        <v>0</v>
      </c>
      <c r="AS30">
        <f t="shared" si="11"/>
        <v>0</v>
      </c>
      <c r="AT30" s="549">
        <f t="shared" si="17"/>
      </c>
      <c r="AU30" s="404">
        <f t="shared" si="12"/>
        <v>0</v>
      </c>
      <c r="AV30" s="52">
        <v>16</v>
      </c>
      <c r="AW30" s="27"/>
      <c r="AZ30" s="52"/>
    </row>
    <row r="31" spans="1:52" ht="12.75">
      <c r="A31" s="503">
        <v>17</v>
      </c>
      <c r="B31" s="89">
        <f t="shared" si="13"/>
        <v>0</v>
      </c>
      <c r="C31" s="89"/>
      <c r="D31" s="90">
        <f>IF(B31+F31-D30&lt;=0,B31+F31,IF(AND(Simulador!$U$62=1,$AF$3=2),B31*AJ31,D30))</f>
        <v>0</v>
      </c>
      <c r="E31" s="90"/>
      <c r="F31" s="90">
        <f t="shared" si="3"/>
        <v>0</v>
      </c>
      <c r="G31" s="90"/>
      <c r="H31" s="90">
        <f t="shared" si="14"/>
        <v>0</v>
      </c>
      <c r="I31" s="91"/>
      <c r="J31" s="92"/>
      <c r="K31" s="91"/>
      <c r="L31" s="90">
        <f>IF(Simulador!$T$41=1,0,J31*Simulador!$W$39*1.16)</f>
        <v>0</v>
      </c>
      <c r="M31" s="90"/>
      <c r="N31" s="94"/>
      <c r="O31" s="12"/>
      <c r="P31" s="544">
        <f t="shared" si="15"/>
        <v>0</v>
      </c>
      <c r="Q31" s="4"/>
      <c r="R31" s="90">
        <f aca="true" t="shared" si="22" ref="R31:R79">B31-H31-J31+L31-N31</f>
        <v>0</v>
      </c>
      <c r="S31" s="90"/>
      <c r="T31" s="90">
        <f>_xlfn.IFERROR(IF(Simulador!$U$30=1,0,IF($B31&lt;=0,0,$B31*Simulador!$AA$43)),0)</f>
        <v>0</v>
      </c>
      <c r="U31" s="90"/>
      <c r="V31" s="90">
        <f>_xlfn.IFERROR(IF(Simulador!$U$30=1,0,IF($B31&lt;=0,0,IF(Simulador!$D$22&gt;0,Simulador!$D$22,Simulador!$O$24)*Simulador!$AA$44)),0)</f>
        <v>0</v>
      </c>
      <c r="W31" s="90"/>
      <c r="X31" s="90"/>
      <c r="Y31" s="90">
        <f t="shared" si="5"/>
        <v>0</v>
      </c>
      <c r="Z31" s="13"/>
      <c r="AA31" s="15"/>
      <c r="AB31" s="19"/>
      <c r="AC31" s="364"/>
      <c r="AD31" s="219">
        <v>1</v>
      </c>
      <c r="AE31" s="219">
        <v>5</v>
      </c>
      <c r="AF31" s="269">
        <f t="shared" si="6"/>
        <v>0</v>
      </c>
      <c r="AG31" s="209">
        <f t="shared" si="7"/>
        <v>0</v>
      </c>
      <c r="AH31" s="209">
        <f t="shared" si="8"/>
        <v>0</v>
      </c>
      <c r="AI31" s="219">
        <f t="shared" si="0"/>
        <v>0</v>
      </c>
      <c r="AJ31" s="425">
        <f t="shared" si="21"/>
        <v>0</v>
      </c>
      <c r="AK31" s="57">
        <f t="shared" si="18"/>
        <v>0</v>
      </c>
      <c r="AL31" s="57">
        <f t="shared" si="9"/>
        <v>0</v>
      </c>
      <c r="AM31" s="58">
        <f t="shared" si="2"/>
        <v>0</v>
      </c>
      <c r="AN31" s="57">
        <f t="shared" si="19"/>
        <v>0</v>
      </c>
      <c r="AO31" s="432">
        <f t="shared" si="20"/>
        <v>0</v>
      </c>
      <c r="AP31" s="90">
        <f>_xlfn.IFERROR(IF(Simulador!$U$30=1,0,IF($AK31&lt;=0,0,$AK31*Simulador!$AA$43)),0)+_xlfn.IFERROR(IF(Simulador!$U$30=1,0,IF($AK31&lt;=0,0,IF(Simulador!$D$22&gt;0,Simulador!$D$22,Simulador!$O$24)*Simulador!$AA$44)),0)</f>
        <v>0</v>
      </c>
      <c r="AQ31" s="90">
        <f t="shared" si="10"/>
        <v>0</v>
      </c>
      <c r="AR31" s="26">
        <f t="shared" si="16"/>
        <v>0</v>
      </c>
      <c r="AS31">
        <f t="shared" si="11"/>
        <v>0</v>
      </c>
      <c r="AT31" s="549">
        <f t="shared" si="17"/>
      </c>
      <c r="AU31" s="404">
        <f t="shared" si="12"/>
        <v>0</v>
      </c>
      <c r="AV31" s="52">
        <v>17</v>
      </c>
      <c r="AW31" s="27"/>
      <c r="AZ31" s="52"/>
    </row>
    <row r="32" spans="1:52" ht="12.75">
      <c r="A32" s="503">
        <v>18</v>
      </c>
      <c r="B32" s="89">
        <f t="shared" si="13"/>
        <v>0</v>
      </c>
      <c r="C32" s="89"/>
      <c r="D32" s="90">
        <f>IF(B32+F32-D31&lt;=0,B32+F32,IF(AND(Simulador!$U$62=1,$AF$3=2),B32*AJ32,D31))</f>
        <v>0</v>
      </c>
      <c r="E32" s="90"/>
      <c r="F32" s="90">
        <f t="shared" si="3"/>
        <v>0</v>
      </c>
      <c r="G32" s="90"/>
      <c r="H32" s="90">
        <f t="shared" si="14"/>
        <v>0</v>
      </c>
      <c r="I32" s="91"/>
      <c r="J32" s="92"/>
      <c r="K32" s="91"/>
      <c r="L32" s="90">
        <f>IF(Simulador!$T$41=1,0,J32*Simulador!$W$39*1.16)</f>
        <v>0</v>
      </c>
      <c r="M32" s="90"/>
      <c r="N32" s="93">
        <f>IF(B32-H32=0,0,N30)</f>
        <v>0</v>
      </c>
      <c r="O32" s="12"/>
      <c r="P32" s="544">
        <f t="shared" si="15"/>
        <v>0</v>
      </c>
      <c r="Q32" s="4"/>
      <c r="R32" s="90">
        <f t="shared" si="22"/>
        <v>0</v>
      </c>
      <c r="S32" s="90"/>
      <c r="T32" s="90">
        <f>_xlfn.IFERROR(IF(Simulador!$U$30=1,0,IF($B32&lt;=0,0,$B32*Simulador!$AA$43)),0)</f>
        <v>0</v>
      </c>
      <c r="U32" s="90"/>
      <c r="V32" s="90">
        <f>_xlfn.IFERROR(IF(Simulador!$U$30=1,0,IF($B32&lt;=0,0,IF(Simulador!$D$22&gt;0,Simulador!$D$22,Simulador!$O$24)*Simulador!$AA$44)),0)</f>
        <v>0</v>
      </c>
      <c r="W32" s="90"/>
      <c r="X32" s="90"/>
      <c r="Y32" s="90">
        <f t="shared" si="5"/>
        <v>0</v>
      </c>
      <c r="Z32" s="13"/>
      <c r="AA32" s="15"/>
      <c r="AB32" s="6"/>
      <c r="AC32" s="364"/>
      <c r="AD32" s="219">
        <v>1</v>
      </c>
      <c r="AE32" s="219">
        <v>6</v>
      </c>
      <c r="AF32" s="269">
        <f t="shared" si="6"/>
        <v>0</v>
      </c>
      <c r="AG32" s="209">
        <f t="shared" si="7"/>
        <v>0</v>
      </c>
      <c r="AH32" s="209">
        <f t="shared" si="8"/>
        <v>0</v>
      </c>
      <c r="AI32" s="219">
        <f t="shared" si="0"/>
        <v>0</v>
      </c>
      <c r="AJ32" s="425">
        <f t="shared" si="21"/>
        <v>0</v>
      </c>
      <c r="AK32" s="57">
        <f t="shared" si="18"/>
        <v>0</v>
      </c>
      <c r="AL32" s="57">
        <f t="shared" si="9"/>
        <v>0</v>
      </c>
      <c r="AM32" s="58">
        <f t="shared" si="2"/>
        <v>0</v>
      </c>
      <c r="AN32" s="57">
        <f t="shared" si="19"/>
        <v>0</v>
      </c>
      <c r="AO32" s="432">
        <f t="shared" si="20"/>
        <v>0</v>
      </c>
      <c r="AP32" s="90">
        <f>_xlfn.IFERROR(IF(Simulador!$U$30=1,0,IF($AK32&lt;=0,0,$AK32*Simulador!$AA$43)),0)+_xlfn.IFERROR(IF(Simulador!$U$30=1,0,IF($AK32&lt;=0,0,IF(Simulador!$D$22&gt;0,Simulador!$D$22,Simulador!$O$24)*Simulador!$AA$44)),0)</f>
        <v>0</v>
      </c>
      <c r="AQ32" s="90">
        <f t="shared" si="10"/>
        <v>0</v>
      </c>
      <c r="AR32" s="26">
        <f t="shared" si="16"/>
        <v>0</v>
      </c>
      <c r="AS32">
        <f t="shared" si="11"/>
        <v>0</v>
      </c>
      <c r="AT32" s="549">
        <f t="shared" si="17"/>
      </c>
      <c r="AU32" s="404">
        <f t="shared" si="12"/>
        <v>0</v>
      </c>
      <c r="AV32" s="52">
        <v>18</v>
      </c>
      <c r="AW32" s="27"/>
      <c r="AZ32" s="52"/>
    </row>
    <row r="33" spans="1:52" ht="12.75">
      <c r="A33" s="503">
        <v>19</v>
      </c>
      <c r="B33" s="89">
        <f t="shared" si="13"/>
        <v>0</v>
      </c>
      <c r="C33" s="89"/>
      <c r="D33" s="90">
        <f>IF(B33+F33-D32&lt;=0,B33+F33,IF(AND(Simulador!$U$62=1,$AF$3=2),B33*AJ33,D32))</f>
        <v>0</v>
      </c>
      <c r="E33" s="90"/>
      <c r="F33" s="90">
        <f t="shared" si="3"/>
        <v>0</v>
      </c>
      <c r="G33" s="90"/>
      <c r="H33" s="90">
        <f t="shared" si="14"/>
        <v>0</v>
      </c>
      <c r="I33" s="91"/>
      <c r="J33" s="92"/>
      <c r="K33" s="91"/>
      <c r="L33" s="90">
        <f>IF(Simulador!$T$41=1,0,J33*Simulador!$W$39*1.16)</f>
        <v>0</v>
      </c>
      <c r="M33" s="90"/>
      <c r="N33" s="94"/>
      <c r="O33" s="12"/>
      <c r="P33" s="544">
        <f t="shared" si="15"/>
        <v>0</v>
      </c>
      <c r="Q33" s="4"/>
      <c r="R33" s="90">
        <f t="shared" si="22"/>
        <v>0</v>
      </c>
      <c r="S33" s="90"/>
      <c r="T33" s="90">
        <f>_xlfn.IFERROR(IF(Simulador!$U$30=1,0,IF($B33&lt;=0,0,$B33*Simulador!$AA$43)),0)</f>
        <v>0</v>
      </c>
      <c r="U33" s="90"/>
      <c r="V33" s="90">
        <f>_xlfn.IFERROR(IF(Simulador!$U$30=1,0,IF($B33&lt;=0,0,IF(Simulador!$D$22&gt;0,Simulador!$D$22,Simulador!$O$24)*Simulador!$AA$44)),0)</f>
        <v>0</v>
      </c>
      <c r="W33" s="90"/>
      <c r="X33" s="90"/>
      <c r="Y33" s="90">
        <f t="shared" si="5"/>
        <v>0</v>
      </c>
      <c r="Z33" s="13"/>
      <c r="AA33" s="15"/>
      <c r="AB33" s="22"/>
      <c r="AC33" s="364"/>
      <c r="AD33" s="219">
        <v>1</v>
      </c>
      <c r="AE33" s="219">
        <v>7</v>
      </c>
      <c r="AF33" s="269">
        <f t="shared" si="6"/>
        <v>0</v>
      </c>
      <c r="AG33" s="209">
        <f t="shared" si="7"/>
        <v>0</v>
      </c>
      <c r="AH33" s="209">
        <f t="shared" si="8"/>
        <v>0</v>
      </c>
      <c r="AI33" s="219">
        <f t="shared" si="0"/>
        <v>0</v>
      </c>
      <c r="AJ33" s="425">
        <f t="shared" si="21"/>
        <v>0</v>
      </c>
      <c r="AK33" s="57">
        <f t="shared" si="18"/>
        <v>0</v>
      </c>
      <c r="AL33" s="57">
        <f aca="true" t="shared" si="23" ref="AL33:AL74">_xlfn.IFERROR((IF(AK33+AM33-AL32&lt;0,AK33+AM33,AL32*(1+AA33))),0)</f>
        <v>0</v>
      </c>
      <c r="AM33" s="58">
        <f t="shared" si="2"/>
        <v>0</v>
      </c>
      <c r="AN33" s="57">
        <f t="shared" si="19"/>
        <v>0</v>
      </c>
      <c r="AO33" s="432">
        <f t="shared" si="20"/>
        <v>0</v>
      </c>
      <c r="AP33" s="90">
        <f>_xlfn.IFERROR(IF(Simulador!$U$30=1,0,IF($AK33&lt;=0,0,$AK33*Simulador!$AA$43)),0)+_xlfn.IFERROR(IF(Simulador!$U$30=1,0,IF($AK33&lt;=0,0,IF(Simulador!$D$22&gt;0,Simulador!$D$22,Simulador!$O$24)*Simulador!$AA$44)),0)</f>
        <v>0</v>
      </c>
      <c r="AQ33" s="90">
        <f t="shared" si="10"/>
        <v>0</v>
      </c>
      <c r="AR33" s="26">
        <f t="shared" si="16"/>
        <v>0</v>
      </c>
      <c r="AS33">
        <f t="shared" si="11"/>
        <v>0</v>
      </c>
      <c r="AT33" s="549">
        <f t="shared" si="17"/>
      </c>
      <c r="AU33" s="404">
        <f t="shared" si="12"/>
        <v>0</v>
      </c>
      <c r="AV33" s="52">
        <v>19</v>
      </c>
      <c r="AW33" s="27"/>
      <c r="AZ33" s="52"/>
    </row>
    <row r="34" spans="1:52" ht="12.75">
      <c r="A34" s="503">
        <v>20</v>
      </c>
      <c r="B34" s="89">
        <f t="shared" si="13"/>
        <v>0</v>
      </c>
      <c r="C34" s="89"/>
      <c r="D34" s="90">
        <f>IF(B34+F34-D33&lt;=0,B34+F34,IF(AND(Simulador!$U$62=1,$AF$3=2),B34*AJ34,D33))</f>
        <v>0</v>
      </c>
      <c r="E34" s="90"/>
      <c r="F34" s="90">
        <f t="shared" si="3"/>
        <v>0</v>
      </c>
      <c r="G34" s="90"/>
      <c r="H34" s="90">
        <f t="shared" si="14"/>
        <v>0</v>
      </c>
      <c r="I34" s="91"/>
      <c r="J34" s="92"/>
      <c r="K34" s="91"/>
      <c r="L34" s="90">
        <f>IF(Simulador!$T$41=1,0,J34*Simulador!$W$39*1.16)</f>
        <v>0</v>
      </c>
      <c r="M34" s="90"/>
      <c r="N34" s="93">
        <f>IF(B34-H34=0,0,N32)</f>
        <v>0</v>
      </c>
      <c r="O34" s="12"/>
      <c r="P34" s="544">
        <f t="shared" si="15"/>
        <v>0</v>
      </c>
      <c r="Q34" s="4"/>
      <c r="R34" s="90">
        <f t="shared" si="22"/>
        <v>0</v>
      </c>
      <c r="S34" s="90"/>
      <c r="T34" s="90">
        <f>_xlfn.IFERROR(IF(Simulador!$U$30=1,0,IF($B34&lt;=0,0,$B34*Simulador!$AA$43)),0)</f>
        <v>0</v>
      </c>
      <c r="U34" s="90"/>
      <c r="V34" s="90">
        <f>_xlfn.IFERROR(IF(Simulador!$U$30=1,0,IF($B34&lt;=0,0,IF(Simulador!$D$22&gt;0,Simulador!$D$22,Simulador!$O$24)*Simulador!$AA$44)),0)</f>
        <v>0</v>
      </c>
      <c r="W34" s="90"/>
      <c r="X34" s="90"/>
      <c r="Y34" s="90">
        <f t="shared" si="5"/>
        <v>0</v>
      </c>
      <c r="Z34" s="13"/>
      <c r="AA34" s="15"/>
      <c r="AB34" s="22"/>
      <c r="AC34" s="364"/>
      <c r="AD34" s="219">
        <v>1</v>
      </c>
      <c r="AE34" s="219">
        <v>8</v>
      </c>
      <c r="AF34" s="269">
        <f t="shared" si="6"/>
        <v>0</v>
      </c>
      <c r="AG34" s="209">
        <f t="shared" si="7"/>
        <v>0</v>
      </c>
      <c r="AH34" s="209">
        <f t="shared" si="8"/>
        <v>0</v>
      </c>
      <c r="AI34" s="219">
        <f t="shared" si="0"/>
        <v>0</v>
      </c>
      <c r="AJ34" s="425">
        <f t="shared" si="21"/>
        <v>0</v>
      </c>
      <c r="AK34" s="57">
        <f t="shared" si="18"/>
        <v>0</v>
      </c>
      <c r="AL34" s="57">
        <f t="shared" si="23"/>
        <v>0</v>
      </c>
      <c r="AM34" s="58">
        <f t="shared" si="2"/>
        <v>0</v>
      </c>
      <c r="AN34" s="57">
        <f t="shared" si="19"/>
        <v>0</v>
      </c>
      <c r="AO34" s="432">
        <f t="shared" si="20"/>
        <v>0</v>
      </c>
      <c r="AP34" s="90">
        <f>_xlfn.IFERROR(IF(Simulador!$U$30=1,0,IF($AK34&lt;=0,0,$AK34*Simulador!$AA$43)),0)+_xlfn.IFERROR(IF(Simulador!$U$30=1,0,IF($AK34&lt;=0,0,IF(Simulador!$D$22&gt;0,Simulador!$D$22,Simulador!$O$24)*Simulador!$AA$44)),0)</f>
        <v>0</v>
      </c>
      <c r="AQ34" s="90">
        <f t="shared" si="10"/>
        <v>0</v>
      </c>
      <c r="AR34" s="26">
        <f t="shared" si="16"/>
        <v>0</v>
      </c>
      <c r="AS34">
        <f t="shared" si="11"/>
        <v>0</v>
      </c>
      <c r="AT34" s="549">
        <f t="shared" si="17"/>
      </c>
      <c r="AU34" s="404">
        <f t="shared" si="12"/>
        <v>0</v>
      </c>
      <c r="AV34" s="52">
        <v>20</v>
      </c>
      <c r="AW34" s="27"/>
      <c r="AZ34" s="52"/>
    </row>
    <row r="35" spans="1:52" ht="12.75">
      <c r="A35" s="503">
        <v>21</v>
      </c>
      <c r="B35" s="89">
        <f t="shared" si="13"/>
        <v>0</v>
      </c>
      <c r="C35" s="89"/>
      <c r="D35" s="90">
        <f>IF(B35+F35-D34&lt;=0,B35+F35,IF(AND(Simulador!$U$62=1,$AF$3=2),B35*AJ35,D34))</f>
        <v>0</v>
      </c>
      <c r="E35" s="90"/>
      <c r="F35" s="90">
        <f t="shared" si="3"/>
        <v>0</v>
      </c>
      <c r="G35" s="90"/>
      <c r="H35" s="90">
        <f t="shared" si="14"/>
        <v>0</v>
      </c>
      <c r="I35" s="91"/>
      <c r="J35" s="92"/>
      <c r="K35" s="91"/>
      <c r="L35" s="90">
        <f>IF(Simulador!$T$41=1,0,J35*Simulador!$W$39*1.16)</f>
        <v>0</v>
      </c>
      <c r="M35" s="90"/>
      <c r="N35" s="94"/>
      <c r="O35" s="12"/>
      <c r="P35" s="544">
        <f t="shared" si="15"/>
        <v>0</v>
      </c>
      <c r="Q35" s="4"/>
      <c r="R35" s="90">
        <f t="shared" si="22"/>
        <v>0</v>
      </c>
      <c r="S35" s="90"/>
      <c r="T35" s="90">
        <f>_xlfn.IFERROR(IF(Simulador!$U$30=1,0,IF($B35&lt;=0,0,$B35*Simulador!$AA$43)),0)</f>
        <v>0</v>
      </c>
      <c r="U35" s="90"/>
      <c r="V35" s="90">
        <f>_xlfn.IFERROR(IF(Simulador!$U$30=1,0,IF($B35&lt;=0,0,IF(Simulador!$D$22&gt;0,Simulador!$D$22,Simulador!$O$24)*Simulador!$AA$44)),0)</f>
        <v>0</v>
      </c>
      <c r="W35" s="90"/>
      <c r="X35" s="90"/>
      <c r="Y35" s="90">
        <f t="shared" si="5"/>
        <v>0</v>
      </c>
      <c r="Z35" s="13"/>
      <c r="AA35" s="15"/>
      <c r="AB35" s="23"/>
      <c r="AC35" s="364"/>
      <c r="AD35" s="219">
        <v>1</v>
      </c>
      <c r="AE35" s="221">
        <v>9</v>
      </c>
      <c r="AF35" s="269">
        <f t="shared" si="6"/>
        <v>0</v>
      </c>
      <c r="AG35" s="209">
        <f t="shared" si="7"/>
        <v>0</v>
      </c>
      <c r="AH35" s="209">
        <f t="shared" si="8"/>
        <v>0</v>
      </c>
      <c r="AI35" s="219">
        <f t="shared" si="0"/>
        <v>0</v>
      </c>
      <c r="AJ35" s="425">
        <f t="shared" si="21"/>
        <v>0</v>
      </c>
      <c r="AK35" s="57">
        <f t="shared" si="18"/>
        <v>0</v>
      </c>
      <c r="AL35" s="57">
        <f t="shared" si="23"/>
        <v>0</v>
      </c>
      <c r="AM35" s="58">
        <f t="shared" si="2"/>
        <v>0</v>
      </c>
      <c r="AN35" s="57">
        <f t="shared" si="19"/>
        <v>0</v>
      </c>
      <c r="AO35" s="432">
        <f t="shared" si="20"/>
        <v>0</v>
      </c>
      <c r="AP35" s="90">
        <f>_xlfn.IFERROR(IF(Simulador!$U$30=1,0,IF($AK35&lt;=0,0,$AK35*Simulador!$AA$43)),0)+_xlfn.IFERROR(IF(Simulador!$U$30=1,0,IF($AK35&lt;=0,0,IF(Simulador!$D$22&gt;0,Simulador!$D$22,Simulador!$O$24)*Simulador!$AA$44)),0)</f>
        <v>0</v>
      </c>
      <c r="AQ35" s="90">
        <f t="shared" si="10"/>
        <v>0</v>
      </c>
      <c r="AR35" s="26">
        <f t="shared" si="16"/>
        <v>0</v>
      </c>
      <c r="AS35">
        <f t="shared" si="11"/>
        <v>0</v>
      </c>
      <c r="AT35" s="549">
        <f t="shared" si="17"/>
      </c>
      <c r="AU35" s="404">
        <f t="shared" si="12"/>
        <v>0</v>
      </c>
      <c r="AV35" s="52">
        <v>21</v>
      </c>
      <c r="AW35" s="27"/>
      <c r="AZ35" s="52"/>
    </row>
    <row r="36" spans="1:52" ht="12.75">
      <c r="A36" s="503">
        <v>22</v>
      </c>
      <c r="B36" s="89">
        <f t="shared" si="13"/>
        <v>0</v>
      </c>
      <c r="C36" s="89"/>
      <c r="D36" s="90">
        <f>IF(B36+F36-D35&lt;=0,B36+F36,IF(AND(Simulador!$U$62=1,$AF$3=2),B36*AJ36,D35))</f>
        <v>0</v>
      </c>
      <c r="E36" s="90"/>
      <c r="F36" s="90">
        <f t="shared" si="3"/>
        <v>0</v>
      </c>
      <c r="G36" s="90"/>
      <c r="H36" s="90">
        <f t="shared" si="14"/>
        <v>0</v>
      </c>
      <c r="I36" s="91"/>
      <c r="J36" s="92"/>
      <c r="K36" s="91"/>
      <c r="L36" s="90">
        <f>IF(Simulador!$T$41=1,0,J36*Simulador!$W$39*1.16)</f>
        <v>0</v>
      </c>
      <c r="M36" s="90"/>
      <c r="N36" s="93">
        <f>IF(B36-H36=0,0,N34)</f>
        <v>0</v>
      </c>
      <c r="O36" s="12"/>
      <c r="P36" s="544">
        <f t="shared" si="15"/>
        <v>0</v>
      </c>
      <c r="Q36" s="4"/>
      <c r="R36" s="90">
        <f t="shared" si="22"/>
        <v>0</v>
      </c>
      <c r="S36" s="90"/>
      <c r="T36" s="90">
        <f>_xlfn.IFERROR(IF(Simulador!$U$30=1,0,IF($B36&lt;=0,0,$B36*Simulador!$AA$43)),0)</f>
        <v>0</v>
      </c>
      <c r="U36" s="90"/>
      <c r="V36" s="90">
        <f>_xlfn.IFERROR(IF(Simulador!$U$30=1,0,IF($B36&lt;=0,0,IF(Simulador!$D$22&gt;0,Simulador!$D$22,Simulador!$O$24)*Simulador!$AA$44)),0)</f>
        <v>0</v>
      </c>
      <c r="W36" s="90"/>
      <c r="X36" s="90"/>
      <c r="Y36" s="90">
        <f t="shared" si="5"/>
        <v>0</v>
      </c>
      <c r="Z36" s="13"/>
      <c r="AA36" s="15"/>
      <c r="AB36" s="23"/>
      <c r="AC36" s="364"/>
      <c r="AD36" s="219">
        <v>1</v>
      </c>
      <c r="AE36" s="221">
        <v>10</v>
      </c>
      <c r="AF36" s="269">
        <f t="shared" si="6"/>
        <v>0</v>
      </c>
      <c r="AG36" s="209">
        <f t="shared" si="7"/>
        <v>0</v>
      </c>
      <c r="AH36" s="209">
        <f t="shared" si="8"/>
        <v>0</v>
      </c>
      <c r="AI36" s="219">
        <f t="shared" si="0"/>
        <v>0</v>
      </c>
      <c r="AJ36" s="425">
        <f t="shared" si="21"/>
        <v>0</v>
      </c>
      <c r="AK36" s="57">
        <f t="shared" si="18"/>
        <v>0</v>
      </c>
      <c r="AL36" s="57">
        <f t="shared" si="23"/>
        <v>0</v>
      </c>
      <c r="AM36" s="58">
        <f t="shared" si="2"/>
        <v>0</v>
      </c>
      <c r="AN36" s="57">
        <f t="shared" si="19"/>
        <v>0</v>
      </c>
      <c r="AO36" s="432">
        <f t="shared" si="20"/>
        <v>0</v>
      </c>
      <c r="AP36" s="90">
        <f>_xlfn.IFERROR(IF(Simulador!$U$30=1,0,IF($AK36&lt;=0,0,$AK36*Simulador!$AA$43)),0)+_xlfn.IFERROR(IF(Simulador!$U$30=1,0,IF($AK36&lt;=0,0,IF(Simulador!$D$22&gt;0,Simulador!$D$22,Simulador!$O$24)*Simulador!$AA$44)),0)</f>
        <v>0</v>
      </c>
      <c r="AQ36" s="90">
        <f t="shared" si="10"/>
        <v>0</v>
      </c>
      <c r="AR36" s="26">
        <f t="shared" si="16"/>
        <v>0</v>
      </c>
      <c r="AS36">
        <f t="shared" si="11"/>
        <v>0</v>
      </c>
      <c r="AT36" s="549">
        <f t="shared" si="17"/>
      </c>
      <c r="AU36" s="404">
        <f t="shared" si="12"/>
        <v>0</v>
      </c>
      <c r="AV36" s="52">
        <v>22</v>
      </c>
      <c r="AW36" s="27"/>
      <c r="AZ36" s="52"/>
    </row>
    <row r="37" spans="1:52" ht="12.75">
      <c r="A37" s="503">
        <v>23</v>
      </c>
      <c r="B37" s="89">
        <f t="shared" si="13"/>
        <v>0</v>
      </c>
      <c r="C37" s="89"/>
      <c r="D37" s="90">
        <f>IF(B37+F37-D36&lt;=0,B37+F37,IF(AND(Simulador!$U$62=1,$AF$3=2),B37*AJ37,D36))</f>
        <v>0</v>
      </c>
      <c r="E37" s="90"/>
      <c r="F37" s="90">
        <f t="shared" si="3"/>
        <v>0</v>
      </c>
      <c r="G37" s="90"/>
      <c r="H37" s="90">
        <f t="shared" si="14"/>
        <v>0</v>
      </c>
      <c r="I37" s="91"/>
      <c r="J37" s="92"/>
      <c r="K37" s="91"/>
      <c r="L37" s="90">
        <f>IF(Simulador!$T$41=1,0,J37*Simulador!$W$39*1.16)</f>
        <v>0</v>
      </c>
      <c r="M37" s="90"/>
      <c r="N37" s="94"/>
      <c r="O37" s="12"/>
      <c r="P37" s="544">
        <f t="shared" si="15"/>
        <v>0</v>
      </c>
      <c r="Q37" s="4"/>
      <c r="R37" s="90">
        <f t="shared" si="22"/>
        <v>0</v>
      </c>
      <c r="S37" s="90"/>
      <c r="T37" s="90">
        <f>_xlfn.IFERROR(IF(Simulador!$U$30=1,0,IF($B37&lt;=0,0,$B37*Simulador!$AA$43)),0)</f>
        <v>0</v>
      </c>
      <c r="U37" s="90"/>
      <c r="V37" s="90">
        <f>_xlfn.IFERROR(IF(Simulador!$U$30=1,0,IF($B37&lt;=0,0,IF(Simulador!$D$22&gt;0,Simulador!$D$22,Simulador!$O$24)*Simulador!$AA$44)),0)</f>
        <v>0</v>
      </c>
      <c r="W37" s="90"/>
      <c r="X37" s="90"/>
      <c r="Y37" s="90">
        <f t="shared" si="5"/>
        <v>0</v>
      </c>
      <c r="Z37" s="13"/>
      <c r="AA37" s="15"/>
      <c r="AB37" s="23"/>
      <c r="AC37" s="364"/>
      <c r="AD37" s="219">
        <v>1</v>
      </c>
      <c r="AE37" s="219">
        <v>11</v>
      </c>
      <c r="AF37" s="269">
        <f t="shared" si="6"/>
        <v>0</v>
      </c>
      <c r="AG37" s="209">
        <f t="shared" si="7"/>
        <v>0</v>
      </c>
      <c r="AH37" s="209">
        <f t="shared" si="8"/>
        <v>0</v>
      </c>
      <c r="AI37" s="219">
        <f t="shared" si="0"/>
        <v>0</v>
      </c>
      <c r="AJ37" s="425">
        <f t="shared" si="21"/>
        <v>0</v>
      </c>
      <c r="AK37" s="57">
        <f t="shared" si="18"/>
        <v>0</v>
      </c>
      <c r="AL37" s="57">
        <f t="shared" si="23"/>
        <v>0</v>
      </c>
      <c r="AM37" s="58">
        <f t="shared" si="2"/>
        <v>0</v>
      </c>
      <c r="AN37" s="57">
        <f t="shared" si="19"/>
        <v>0</v>
      </c>
      <c r="AO37" s="432">
        <f t="shared" si="20"/>
        <v>0</v>
      </c>
      <c r="AP37" s="90">
        <f>_xlfn.IFERROR(IF(Simulador!$U$30=1,0,IF($AK37&lt;=0,0,$AK37*Simulador!$AA$43)),0)+_xlfn.IFERROR(IF(Simulador!$U$30=1,0,IF($AK37&lt;=0,0,IF(Simulador!$D$22&gt;0,Simulador!$D$22,Simulador!$O$24)*Simulador!$AA$44)),0)</f>
        <v>0</v>
      </c>
      <c r="AQ37" s="90">
        <f t="shared" si="10"/>
        <v>0</v>
      </c>
      <c r="AR37" s="26">
        <f t="shared" si="16"/>
        <v>0</v>
      </c>
      <c r="AS37">
        <f t="shared" si="11"/>
        <v>0</v>
      </c>
      <c r="AT37" s="549">
        <f t="shared" si="17"/>
      </c>
      <c r="AU37" s="404">
        <f t="shared" si="12"/>
        <v>0</v>
      </c>
      <c r="AV37" s="52">
        <v>23</v>
      </c>
      <c r="AW37" s="27"/>
      <c r="AZ37" s="52"/>
    </row>
    <row r="38" spans="1:52" ht="12.75">
      <c r="A38" s="503">
        <v>24</v>
      </c>
      <c r="B38" s="89">
        <f t="shared" si="13"/>
        <v>0</v>
      </c>
      <c r="C38" s="89"/>
      <c r="D38" s="90">
        <f>IF(B38+F38-D37&lt;=0,B38+F38,IF(AND(Simulador!$U$62=1,$AF$3=2),B38*AJ38,D37))</f>
        <v>0</v>
      </c>
      <c r="E38" s="90"/>
      <c r="F38" s="90">
        <f t="shared" si="3"/>
        <v>0</v>
      </c>
      <c r="G38" s="90"/>
      <c r="H38" s="90">
        <f t="shared" si="14"/>
        <v>0</v>
      </c>
      <c r="I38" s="91"/>
      <c r="J38" s="92"/>
      <c r="K38" s="91"/>
      <c r="L38" s="90">
        <f>IF(Simulador!$T$41=1,0,J38*Simulador!$W$39*1.16)</f>
        <v>0</v>
      </c>
      <c r="M38" s="90"/>
      <c r="N38" s="93">
        <f>IF(B38-H38=0,0,N36)</f>
        <v>0</v>
      </c>
      <c r="O38" s="12"/>
      <c r="P38" s="544">
        <f t="shared" si="15"/>
        <v>0</v>
      </c>
      <c r="Q38" s="4"/>
      <c r="R38" s="90">
        <f t="shared" si="22"/>
        <v>0</v>
      </c>
      <c r="S38" s="90"/>
      <c r="T38" s="90">
        <f>_xlfn.IFERROR(IF(Simulador!$U$30=1,0,IF($B38&lt;=0,0,$B38*Simulador!$AA$43)),0)</f>
        <v>0</v>
      </c>
      <c r="U38" s="90"/>
      <c r="V38" s="90">
        <f>_xlfn.IFERROR(IF(Simulador!$U$30=1,0,IF($B38&lt;=0,0,IF(Simulador!$D$22&gt;0,Simulador!$D$22,Simulador!$O$24)*Simulador!$AA$44)),0)</f>
        <v>0</v>
      </c>
      <c r="W38" s="90"/>
      <c r="X38" s="90"/>
      <c r="Y38" s="90">
        <f t="shared" si="5"/>
        <v>0</v>
      </c>
      <c r="Z38" s="13"/>
      <c r="AA38" s="18"/>
      <c r="AB38" s="23"/>
      <c r="AC38" s="364"/>
      <c r="AD38" s="222">
        <v>2</v>
      </c>
      <c r="AE38" s="219">
        <v>0</v>
      </c>
      <c r="AF38" s="269">
        <f t="shared" si="6"/>
        <v>0</v>
      </c>
      <c r="AG38" s="209">
        <f t="shared" si="7"/>
        <v>0</v>
      </c>
      <c r="AH38" s="209">
        <f t="shared" si="8"/>
        <v>0</v>
      </c>
      <c r="AI38" s="219">
        <f t="shared" si="0"/>
        <v>0</v>
      </c>
      <c r="AJ38" s="425">
        <f t="shared" si="21"/>
        <v>0</v>
      </c>
      <c r="AK38" s="57">
        <f t="shared" si="18"/>
        <v>0</v>
      </c>
      <c r="AL38" s="57">
        <f t="shared" si="23"/>
        <v>0</v>
      </c>
      <c r="AM38" s="58">
        <f t="shared" si="2"/>
        <v>0</v>
      </c>
      <c r="AN38" s="57">
        <f t="shared" si="19"/>
        <v>0</v>
      </c>
      <c r="AO38" s="432">
        <f t="shared" si="20"/>
        <v>0</v>
      </c>
      <c r="AP38" s="90">
        <f>_xlfn.IFERROR(IF(Simulador!$U$30=1,0,IF($AK38&lt;=0,0,$AK38*Simulador!$AA$43)),0)+_xlfn.IFERROR(IF(Simulador!$U$30=1,0,IF($AK38&lt;=0,0,IF(Simulador!$D$22&gt;0,Simulador!$D$22,Simulador!$O$24)*Simulador!$AA$44)),0)</f>
        <v>0</v>
      </c>
      <c r="AQ38" s="90">
        <f t="shared" si="10"/>
        <v>0</v>
      </c>
      <c r="AR38" s="26">
        <f t="shared" si="16"/>
        <v>0</v>
      </c>
      <c r="AS38">
        <f t="shared" si="11"/>
        <v>0</v>
      </c>
      <c r="AT38" s="549">
        <f t="shared" si="17"/>
      </c>
      <c r="AU38" s="404">
        <f t="shared" si="12"/>
        <v>0</v>
      </c>
      <c r="AV38" s="52">
        <v>24</v>
      </c>
      <c r="AW38" s="27"/>
      <c r="AZ38" s="52"/>
    </row>
    <row r="39" spans="1:52" ht="12.75">
      <c r="A39" s="503">
        <v>25</v>
      </c>
      <c r="B39" s="89">
        <f t="shared" si="13"/>
        <v>0</v>
      </c>
      <c r="C39" s="89"/>
      <c r="D39" s="90">
        <f>IF(B39+F39-D38&lt;=0,B39+F39,IF(AND(Simulador!$U$62=1,$AF$3=2),B39*AJ39,D38))</f>
        <v>0</v>
      </c>
      <c r="E39" s="90"/>
      <c r="F39" s="90">
        <f t="shared" si="3"/>
        <v>0</v>
      </c>
      <c r="G39" s="90"/>
      <c r="H39" s="90">
        <f t="shared" si="14"/>
        <v>0</v>
      </c>
      <c r="I39" s="91"/>
      <c r="J39" s="92"/>
      <c r="K39" s="91"/>
      <c r="L39" s="90">
        <f>IF(Simulador!$T$41=1,0,J39*Simulador!$W$39*1.16)</f>
        <v>0</v>
      </c>
      <c r="M39" s="90"/>
      <c r="N39" s="94"/>
      <c r="O39" s="12"/>
      <c r="P39" s="544">
        <f t="shared" si="15"/>
        <v>0</v>
      </c>
      <c r="Q39" s="4"/>
      <c r="R39" s="90">
        <f t="shared" si="22"/>
        <v>0</v>
      </c>
      <c r="S39" s="90"/>
      <c r="T39" s="90">
        <f>_xlfn.IFERROR(IF(Simulador!$U$30=1,0,IF($B39&lt;=0,0,$B39*Simulador!$AA$43)),0)</f>
        <v>0</v>
      </c>
      <c r="U39" s="90"/>
      <c r="V39" s="90">
        <f>_xlfn.IFERROR(IF(Simulador!$U$30=1,0,IF($B39&lt;=0,0,IF(Simulador!$D$22&gt;0,Simulador!$D$22,Simulador!$O$24)*Simulador!$AA$44)),0)</f>
        <v>0</v>
      </c>
      <c r="W39" s="90"/>
      <c r="X39" s="90"/>
      <c r="Y39" s="90">
        <f t="shared" si="5"/>
        <v>0</v>
      </c>
      <c r="Z39" s="13"/>
      <c r="AA39" s="18">
        <f>IF(B39&lt;=0,0,Simulador!$I$45)</f>
        <v>0</v>
      </c>
      <c r="AB39" s="23"/>
      <c r="AC39" s="364"/>
      <c r="AD39" s="222">
        <v>2</v>
      </c>
      <c r="AE39" s="219">
        <v>1</v>
      </c>
      <c r="AF39" s="269">
        <f t="shared" si="6"/>
        <v>0</v>
      </c>
      <c r="AG39" s="209">
        <f t="shared" si="7"/>
        <v>0</v>
      </c>
      <c r="AH39" s="209">
        <f t="shared" si="8"/>
        <v>0</v>
      </c>
      <c r="AI39" s="219">
        <f t="shared" si="0"/>
        <v>0</v>
      </c>
      <c r="AJ39" s="425">
        <f t="shared" si="21"/>
        <v>0</v>
      </c>
      <c r="AK39" s="57">
        <f t="shared" si="18"/>
        <v>0</v>
      </c>
      <c r="AL39" s="57">
        <f t="shared" si="23"/>
        <v>0</v>
      </c>
      <c r="AM39" s="58">
        <f t="shared" si="2"/>
        <v>0</v>
      </c>
      <c r="AN39" s="57">
        <f t="shared" si="19"/>
        <v>0</v>
      </c>
      <c r="AO39" s="432">
        <f t="shared" si="20"/>
        <v>0</v>
      </c>
      <c r="AP39" s="90">
        <f>_xlfn.IFERROR(IF(Simulador!$U$30=1,0,IF($AK39&lt;=0,0,$AK39*Simulador!$AA$43)),0)+_xlfn.IFERROR(IF(Simulador!$U$30=1,0,IF($AK39&lt;=0,0,IF(Simulador!$D$22&gt;0,Simulador!$D$22,Simulador!$O$24)*Simulador!$AA$44)),0)</f>
        <v>0</v>
      </c>
      <c r="AQ39" s="90">
        <f t="shared" si="10"/>
        <v>0</v>
      </c>
      <c r="AR39" s="26">
        <f t="shared" si="16"/>
        <v>0</v>
      </c>
      <c r="AS39">
        <f t="shared" si="11"/>
        <v>0</v>
      </c>
      <c r="AT39" s="549">
        <f t="shared" si="17"/>
      </c>
      <c r="AU39" s="404">
        <f t="shared" si="12"/>
        <v>0</v>
      </c>
      <c r="AV39" s="52">
        <v>25</v>
      </c>
      <c r="AW39" s="27"/>
      <c r="AZ39" s="52"/>
    </row>
    <row r="40" spans="1:52" ht="12.75">
      <c r="A40" s="503">
        <v>26</v>
      </c>
      <c r="B40" s="89">
        <f t="shared" si="13"/>
        <v>0</v>
      </c>
      <c r="C40" s="89"/>
      <c r="D40" s="90">
        <f>IF(B40+F40-D39&lt;=0,B40+F40,IF(AND(Simulador!$U$62=1,$AF$3=2),B40*AJ40,D39))</f>
        <v>0</v>
      </c>
      <c r="E40" s="90"/>
      <c r="F40" s="90">
        <f t="shared" si="3"/>
        <v>0</v>
      </c>
      <c r="G40" s="90"/>
      <c r="H40" s="90">
        <f t="shared" si="14"/>
        <v>0</v>
      </c>
      <c r="I40" s="91"/>
      <c r="J40" s="92"/>
      <c r="K40" s="91"/>
      <c r="L40" s="90">
        <f>IF(Simulador!$T$41=1,0,J40*Simulador!$W$39*1.16)</f>
        <v>0</v>
      </c>
      <c r="M40" s="90"/>
      <c r="N40" s="93">
        <f>IF(B40-H40=0,0,N38*(1+(Simulador!$AH$72)))</f>
        <v>0</v>
      </c>
      <c r="O40" s="12"/>
      <c r="P40" s="544">
        <f t="shared" si="15"/>
        <v>0</v>
      </c>
      <c r="Q40" s="4"/>
      <c r="R40" s="90">
        <f t="shared" si="22"/>
        <v>0</v>
      </c>
      <c r="S40" s="90"/>
      <c r="T40" s="90">
        <f>_xlfn.IFERROR(IF(Simulador!$U$30=1,0,IF($B40&lt;=0,0,$B40*Simulador!$AA$43)),0)</f>
        <v>0</v>
      </c>
      <c r="U40" s="90"/>
      <c r="V40" s="90">
        <f>_xlfn.IFERROR(IF(Simulador!$U$30=1,0,IF($B40&lt;=0,0,IF(Simulador!$D$22&gt;0,Simulador!$D$22,Simulador!$O$24)*Simulador!$AA$44)),0)</f>
        <v>0</v>
      </c>
      <c r="W40" s="90"/>
      <c r="X40" s="90"/>
      <c r="Y40" s="90">
        <f t="shared" si="5"/>
        <v>0</v>
      </c>
      <c r="Z40" s="13"/>
      <c r="AA40" s="18"/>
      <c r="AB40" s="23"/>
      <c r="AC40" s="364"/>
      <c r="AD40" s="222">
        <v>2</v>
      </c>
      <c r="AE40" s="220">
        <v>2</v>
      </c>
      <c r="AF40" s="269">
        <f t="shared" si="6"/>
        <v>0</v>
      </c>
      <c r="AG40" s="209">
        <f t="shared" si="7"/>
        <v>0</v>
      </c>
      <c r="AH40" s="209">
        <f t="shared" si="8"/>
        <v>0</v>
      </c>
      <c r="AI40" s="219">
        <f t="shared" si="0"/>
        <v>0</v>
      </c>
      <c r="AJ40" s="425">
        <f t="shared" si="21"/>
        <v>0</v>
      </c>
      <c r="AK40" s="57">
        <f t="shared" si="18"/>
        <v>0</v>
      </c>
      <c r="AL40" s="57">
        <f t="shared" si="23"/>
        <v>0</v>
      </c>
      <c r="AM40" s="58">
        <f t="shared" si="2"/>
        <v>0</v>
      </c>
      <c r="AN40" s="57">
        <f t="shared" si="19"/>
        <v>0</v>
      </c>
      <c r="AO40" s="432">
        <f t="shared" si="20"/>
        <v>0</v>
      </c>
      <c r="AP40" s="90">
        <f>_xlfn.IFERROR(IF(Simulador!$U$30=1,0,IF($AK40&lt;=0,0,$AK40*Simulador!$AA$43)),0)+_xlfn.IFERROR(IF(Simulador!$U$30=1,0,IF($AK40&lt;=0,0,IF(Simulador!$D$22&gt;0,Simulador!$D$22,Simulador!$O$24)*Simulador!$AA$44)),0)</f>
        <v>0</v>
      </c>
      <c r="AQ40" s="90">
        <f t="shared" si="10"/>
        <v>0</v>
      </c>
      <c r="AR40" s="26">
        <f t="shared" si="16"/>
        <v>0</v>
      </c>
      <c r="AS40">
        <f t="shared" si="11"/>
        <v>0</v>
      </c>
      <c r="AT40" s="549">
        <f t="shared" si="17"/>
      </c>
      <c r="AU40" s="404">
        <f t="shared" si="12"/>
        <v>0</v>
      </c>
      <c r="AV40" s="52">
        <v>26</v>
      </c>
      <c r="AW40" s="27"/>
      <c r="AZ40" s="52"/>
    </row>
    <row r="41" spans="1:52" ht="12.75">
      <c r="A41" s="503">
        <v>27</v>
      </c>
      <c r="B41" s="89">
        <f t="shared" si="13"/>
        <v>0</v>
      </c>
      <c r="C41" s="89"/>
      <c r="D41" s="90">
        <f>IF(B41+F41-D40&lt;=0,B41+F41,IF(AND(Simulador!$U$62=1,$AF$3=2),B41*AJ41,D40))</f>
        <v>0</v>
      </c>
      <c r="E41" s="90"/>
      <c r="F41" s="90">
        <f t="shared" si="3"/>
        <v>0</v>
      </c>
      <c r="G41" s="90"/>
      <c r="H41" s="90">
        <f t="shared" si="14"/>
        <v>0</v>
      </c>
      <c r="I41" s="91"/>
      <c r="J41" s="92"/>
      <c r="K41" s="91"/>
      <c r="L41" s="90">
        <f>IF(Simulador!$T$41=1,0,J41*Simulador!$W$39*1.16)</f>
        <v>0</v>
      </c>
      <c r="M41" s="90"/>
      <c r="N41" s="94"/>
      <c r="O41" s="12"/>
      <c r="P41" s="544">
        <f t="shared" si="15"/>
        <v>0</v>
      </c>
      <c r="Q41" s="4"/>
      <c r="R41" s="90">
        <f t="shared" si="22"/>
        <v>0</v>
      </c>
      <c r="S41" s="90"/>
      <c r="T41" s="90">
        <f>_xlfn.IFERROR(IF(Simulador!$U$30=1,0,IF($B41&lt;=0,0,$B41*Simulador!$AA$43)),0)</f>
        <v>0</v>
      </c>
      <c r="U41" s="90"/>
      <c r="V41" s="90">
        <f>_xlfn.IFERROR(IF(Simulador!$U$30=1,0,IF($B41&lt;=0,0,IF(Simulador!$D$22&gt;0,Simulador!$D$22,Simulador!$O$24)*Simulador!$AA$44)),0)</f>
        <v>0</v>
      </c>
      <c r="W41" s="90"/>
      <c r="X41" s="90"/>
      <c r="Y41" s="90">
        <f t="shared" si="5"/>
        <v>0</v>
      </c>
      <c r="Z41" s="13"/>
      <c r="AA41" s="18"/>
      <c r="AB41" s="23"/>
      <c r="AC41" s="364"/>
      <c r="AD41" s="222">
        <v>2</v>
      </c>
      <c r="AE41" s="220">
        <v>3</v>
      </c>
      <c r="AF41" s="269">
        <f t="shared" si="6"/>
        <v>0</v>
      </c>
      <c r="AG41" s="209">
        <f t="shared" si="7"/>
        <v>0</v>
      </c>
      <c r="AH41" s="209">
        <f t="shared" si="8"/>
        <v>0</v>
      </c>
      <c r="AI41" s="219">
        <f t="shared" si="0"/>
        <v>0</v>
      </c>
      <c r="AJ41" s="425">
        <f t="shared" si="21"/>
        <v>0</v>
      </c>
      <c r="AK41" s="57">
        <f t="shared" si="18"/>
        <v>0</v>
      </c>
      <c r="AL41" s="57">
        <f t="shared" si="23"/>
        <v>0</v>
      </c>
      <c r="AM41" s="58">
        <f t="shared" si="2"/>
        <v>0</v>
      </c>
      <c r="AN41" s="57">
        <f t="shared" si="19"/>
        <v>0</v>
      </c>
      <c r="AO41" s="432">
        <f t="shared" si="20"/>
        <v>0</v>
      </c>
      <c r="AP41" s="90">
        <f>_xlfn.IFERROR(IF(Simulador!$U$30=1,0,IF($AK41&lt;=0,0,$AK41*Simulador!$AA$43)),0)+_xlfn.IFERROR(IF(Simulador!$U$30=1,0,IF($AK41&lt;=0,0,IF(Simulador!$D$22&gt;0,Simulador!$D$22,Simulador!$O$24)*Simulador!$AA$44)),0)</f>
        <v>0</v>
      </c>
      <c r="AQ41" s="90">
        <f t="shared" si="10"/>
        <v>0</v>
      </c>
      <c r="AR41" s="26">
        <f t="shared" si="16"/>
        <v>0</v>
      </c>
      <c r="AS41">
        <f t="shared" si="11"/>
        <v>0</v>
      </c>
      <c r="AT41" s="549">
        <f t="shared" si="17"/>
      </c>
      <c r="AU41" s="404">
        <f t="shared" si="12"/>
        <v>0</v>
      </c>
      <c r="AV41" s="52">
        <v>27</v>
      </c>
      <c r="AW41" s="27"/>
      <c r="AZ41" s="52"/>
    </row>
    <row r="42" spans="1:52" ht="12.75">
      <c r="A42" s="503">
        <v>28</v>
      </c>
      <c r="B42" s="89">
        <f t="shared" si="13"/>
        <v>0</v>
      </c>
      <c r="C42" s="89"/>
      <c r="D42" s="90">
        <f>IF(B42+F42-D41&lt;=0,B42+F42,IF(AND(Simulador!$U$62=1,$AF$3=2),B42*AJ42,D41))</f>
        <v>0</v>
      </c>
      <c r="E42" s="90"/>
      <c r="F42" s="90">
        <f t="shared" si="3"/>
        <v>0</v>
      </c>
      <c r="G42" s="90"/>
      <c r="H42" s="90">
        <f t="shared" si="14"/>
        <v>0</v>
      </c>
      <c r="I42" s="91"/>
      <c r="J42" s="92"/>
      <c r="K42" s="91"/>
      <c r="L42" s="90">
        <f>IF(Simulador!$T$41=1,0,J42*Simulador!$W$39*1.16)</f>
        <v>0</v>
      </c>
      <c r="M42" s="90"/>
      <c r="N42" s="93">
        <f>IF(B42-H42=0,0,N40)</f>
        <v>0</v>
      </c>
      <c r="O42" s="12"/>
      <c r="P42" s="544">
        <f t="shared" si="15"/>
        <v>0</v>
      </c>
      <c r="Q42" s="4"/>
      <c r="R42" s="90">
        <f t="shared" si="22"/>
        <v>0</v>
      </c>
      <c r="S42" s="90"/>
      <c r="T42" s="90">
        <f>_xlfn.IFERROR(IF(Simulador!$U$30=1,0,IF($B42&lt;=0,0,$B42*Simulador!$AA$43)),0)</f>
        <v>0</v>
      </c>
      <c r="U42" s="90"/>
      <c r="V42" s="90">
        <f>_xlfn.IFERROR(IF(Simulador!$U$30=1,0,IF($B42&lt;=0,0,IF(Simulador!$D$22&gt;0,Simulador!$D$22,Simulador!$O$24)*Simulador!$AA$44)),0)</f>
        <v>0</v>
      </c>
      <c r="W42" s="90"/>
      <c r="X42" s="90"/>
      <c r="Y42" s="90">
        <f t="shared" si="5"/>
        <v>0</v>
      </c>
      <c r="Z42" s="13"/>
      <c r="AA42" s="18"/>
      <c r="AB42" s="23"/>
      <c r="AC42" s="364"/>
      <c r="AD42" s="222">
        <v>2</v>
      </c>
      <c r="AE42" s="219">
        <v>4</v>
      </c>
      <c r="AF42" s="269">
        <f t="shared" si="6"/>
        <v>0</v>
      </c>
      <c r="AG42" s="209">
        <f t="shared" si="7"/>
        <v>0</v>
      </c>
      <c r="AH42" s="209">
        <f t="shared" si="8"/>
        <v>0</v>
      </c>
      <c r="AI42" s="219">
        <f t="shared" si="0"/>
        <v>0</v>
      </c>
      <c r="AJ42" s="425">
        <f t="shared" si="21"/>
        <v>0</v>
      </c>
      <c r="AK42" s="57">
        <f t="shared" si="18"/>
        <v>0</v>
      </c>
      <c r="AL42" s="57">
        <f t="shared" si="23"/>
        <v>0</v>
      </c>
      <c r="AM42" s="58">
        <f t="shared" si="2"/>
        <v>0</v>
      </c>
      <c r="AN42" s="57">
        <f t="shared" si="19"/>
        <v>0</v>
      </c>
      <c r="AO42" s="432">
        <f t="shared" si="20"/>
        <v>0</v>
      </c>
      <c r="AP42" s="90">
        <f>_xlfn.IFERROR(IF(Simulador!$U$30=1,0,IF($AK42&lt;=0,0,$AK42*Simulador!$AA$43)),0)+_xlfn.IFERROR(IF(Simulador!$U$30=1,0,IF($AK42&lt;=0,0,IF(Simulador!$D$22&gt;0,Simulador!$D$22,Simulador!$O$24)*Simulador!$AA$44)),0)</f>
        <v>0</v>
      </c>
      <c r="AQ42" s="90">
        <f t="shared" si="10"/>
        <v>0</v>
      </c>
      <c r="AR42" s="26">
        <f t="shared" si="16"/>
        <v>0</v>
      </c>
      <c r="AS42">
        <f t="shared" si="11"/>
        <v>0</v>
      </c>
      <c r="AT42" s="549">
        <f t="shared" si="17"/>
      </c>
      <c r="AU42" s="404">
        <f t="shared" si="12"/>
        <v>0</v>
      </c>
      <c r="AV42" s="52">
        <v>28</v>
      </c>
      <c r="AW42" s="27"/>
      <c r="AZ42" s="52"/>
    </row>
    <row r="43" spans="1:52" ht="12.75">
      <c r="A43" s="503">
        <v>29</v>
      </c>
      <c r="B43" s="89">
        <f t="shared" si="13"/>
        <v>0</v>
      </c>
      <c r="C43" s="89"/>
      <c r="D43" s="90">
        <f>IF(B43+F43-D42&lt;=0,B43+F43,IF(AND(Simulador!$U$62=1,$AF$3=2),B43*AJ43,D42))</f>
        <v>0</v>
      </c>
      <c r="E43" s="90"/>
      <c r="F43" s="90">
        <f t="shared" si="3"/>
        <v>0</v>
      </c>
      <c r="G43" s="90"/>
      <c r="H43" s="90">
        <f t="shared" si="14"/>
        <v>0</v>
      </c>
      <c r="I43" s="91"/>
      <c r="J43" s="92"/>
      <c r="K43" s="91"/>
      <c r="L43" s="90">
        <f>IF(Simulador!$T$41=1,0,J43*Simulador!$W$39*1.16)</f>
        <v>0</v>
      </c>
      <c r="M43" s="90"/>
      <c r="N43" s="94"/>
      <c r="O43" s="12"/>
      <c r="P43" s="544">
        <f t="shared" si="15"/>
        <v>0</v>
      </c>
      <c r="Q43" s="4"/>
      <c r="R43" s="90">
        <f t="shared" si="22"/>
        <v>0</v>
      </c>
      <c r="S43" s="90"/>
      <c r="T43" s="90">
        <f>_xlfn.IFERROR(IF(Simulador!$U$30=1,0,IF($B43&lt;=0,0,$B43*Simulador!$AA$43)),0)</f>
        <v>0</v>
      </c>
      <c r="U43" s="90"/>
      <c r="V43" s="90">
        <f>_xlfn.IFERROR(IF(Simulador!$U$30=1,0,IF($B43&lt;=0,0,IF(Simulador!$D$22&gt;0,Simulador!$D$22,Simulador!$O$24)*Simulador!$AA$44)),0)</f>
        <v>0</v>
      </c>
      <c r="W43" s="90"/>
      <c r="X43" s="90"/>
      <c r="Y43" s="90">
        <f t="shared" si="5"/>
        <v>0</v>
      </c>
      <c r="Z43" s="13"/>
      <c r="AA43" s="18"/>
      <c r="AB43" s="23"/>
      <c r="AC43" s="364"/>
      <c r="AD43" s="222">
        <v>2</v>
      </c>
      <c r="AE43" s="219">
        <v>5</v>
      </c>
      <c r="AF43" s="269">
        <f t="shared" si="6"/>
        <v>0</v>
      </c>
      <c r="AG43" s="209">
        <f t="shared" si="7"/>
        <v>0</v>
      </c>
      <c r="AH43" s="209">
        <f t="shared" si="8"/>
        <v>0</v>
      </c>
      <c r="AI43" s="219">
        <f t="shared" si="0"/>
        <v>0</v>
      </c>
      <c r="AJ43" s="425">
        <f t="shared" si="21"/>
        <v>0</v>
      </c>
      <c r="AK43" s="57">
        <f t="shared" si="18"/>
        <v>0</v>
      </c>
      <c r="AL43" s="57">
        <f t="shared" si="23"/>
        <v>0</v>
      </c>
      <c r="AM43" s="58">
        <f t="shared" si="2"/>
        <v>0</v>
      </c>
      <c r="AN43" s="57">
        <f t="shared" si="19"/>
        <v>0</v>
      </c>
      <c r="AO43" s="432">
        <f t="shared" si="20"/>
        <v>0</v>
      </c>
      <c r="AP43" s="90">
        <f>_xlfn.IFERROR(IF(Simulador!$U$30=1,0,IF($AK43&lt;=0,0,$AK43*Simulador!$AA$43)),0)+_xlfn.IFERROR(IF(Simulador!$U$30=1,0,IF($AK43&lt;=0,0,IF(Simulador!$D$22&gt;0,Simulador!$D$22,Simulador!$O$24)*Simulador!$AA$44)),0)</f>
        <v>0</v>
      </c>
      <c r="AQ43" s="90">
        <f t="shared" si="10"/>
        <v>0</v>
      </c>
      <c r="AR43" s="26">
        <f t="shared" si="16"/>
        <v>0</v>
      </c>
      <c r="AS43">
        <f t="shared" si="11"/>
        <v>0</v>
      </c>
      <c r="AT43" s="549">
        <f t="shared" si="17"/>
      </c>
      <c r="AU43" s="404">
        <f t="shared" si="12"/>
        <v>0</v>
      </c>
      <c r="AV43" s="52">
        <v>29</v>
      </c>
      <c r="AW43" s="27"/>
      <c r="AZ43" s="52"/>
    </row>
    <row r="44" spans="1:52" ht="12.75">
      <c r="A44" s="503">
        <v>30</v>
      </c>
      <c r="B44" s="89">
        <f t="shared" si="13"/>
        <v>0</v>
      </c>
      <c r="C44" s="89"/>
      <c r="D44" s="90">
        <f>IF(B44+F44-D43&lt;=0,B44+F44,IF(AND(Simulador!$U$62=1,$AF$3=2),B44*AJ44,D43))</f>
        <v>0</v>
      </c>
      <c r="E44" s="90"/>
      <c r="F44" s="90">
        <f t="shared" si="3"/>
        <v>0</v>
      </c>
      <c r="G44" s="90"/>
      <c r="H44" s="90">
        <f t="shared" si="14"/>
        <v>0</v>
      </c>
      <c r="I44" s="91"/>
      <c r="J44" s="92"/>
      <c r="K44" s="91"/>
      <c r="L44" s="90">
        <f>IF(Simulador!$T$41=1,0,J44*Simulador!$W$39*1.16)</f>
        <v>0</v>
      </c>
      <c r="M44" s="90"/>
      <c r="N44" s="93">
        <f>IF(B44-H44=0,0,N42)</f>
        <v>0</v>
      </c>
      <c r="O44" s="12"/>
      <c r="P44" s="544">
        <f t="shared" si="15"/>
        <v>0</v>
      </c>
      <c r="Q44" s="4"/>
      <c r="R44" s="90">
        <f t="shared" si="22"/>
        <v>0</v>
      </c>
      <c r="S44" s="90"/>
      <c r="T44" s="90">
        <f>_xlfn.IFERROR(IF(Simulador!$U$30=1,0,IF($B44&lt;=0,0,$B44*Simulador!$AA$43)),0)</f>
        <v>0</v>
      </c>
      <c r="U44" s="90"/>
      <c r="V44" s="90">
        <f>_xlfn.IFERROR(IF(Simulador!$U$30=1,0,IF($B44&lt;=0,0,IF(Simulador!$D$22&gt;0,Simulador!$D$22,Simulador!$O$24)*Simulador!$AA$44)),0)</f>
        <v>0</v>
      </c>
      <c r="W44" s="90"/>
      <c r="X44" s="90"/>
      <c r="Y44" s="90">
        <f t="shared" si="5"/>
        <v>0</v>
      </c>
      <c r="Z44" s="13"/>
      <c r="AA44" s="18"/>
      <c r="AB44" s="23"/>
      <c r="AC44" s="364"/>
      <c r="AD44" s="222">
        <v>2</v>
      </c>
      <c r="AE44" s="219">
        <v>6</v>
      </c>
      <c r="AF44" s="269">
        <f t="shared" si="6"/>
        <v>0</v>
      </c>
      <c r="AG44" s="209">
        <f>IF(AF44&gt;0,AD44,0)</f>
        <v>0</v>
      </c>
      <c r="AH44" s="209">
        <f t="shared" si="8"/>
        <v>0</v>
      </c>
      <c r="AI44" s="219">
        <f t="shared" si="0"/>
        <v>0</v>
      </c>
      <c r="AJ44" s="425">
        <f t="shared" si="21"/>
        <v>0</v>
      </c>
      <c r="AK44" s="57">
        <f t="shared" si="18"/>
        <v>0</v>
      </c>
      <c r="AL44" s="57">
        <f t="shared" si="23"/>
        <v>0</v>
      </c>
      <c r="AM44" s="58">
        <f t="shared" si="2"/>
        <v>0</v>
      </c>
      <c r="AN44" s="57">
        <f t="shared" si="19"/>
        <v>0</v>
      </c>
      <c r="AO44" s="432">
        <f t="shared" si="20"/>
        <v>0</v>
      </c>
      <c r="AP44" s="90">
        <f>_xlfn.IFERROR(IF(Simulador!$U$30=1,0,IF($AK44&lt;=0,0,$AK44*Simulador!$AA$43)),0)+_xlfn.IFERROR(IF(Simulador!$U$30=1,0,IF($AK44&lt;=0,0,IF(Simulador!$D$22&gt;0,Simulador!$D$22,Simulador!$O$24)*Simulador!$AA$44)),0)</f>
        <v>0</v>
      </c>
      <c r="AQ44" s="90">
        <f t="shared" si="10"/>
        <v>0</v>
      </c>
      <c r="AR44" s="26">
        <f t="shared" si="16"/>
        <v>0</v>
      </c>
      <c r="AS44">
        <f t="shared" si="11"/>
        <v>0</v>
      </c>
      <c r="AT44" s="549">
        <f t="shared" si="17"/>
      </c>
      <c r="AU44" s="404">
        <f t="shared" si="12"/>
        <v>0</v>
      </c>
      <c r="AV44" s="52">
        <v>30</v>
      </c>
      <c r="AW44" s="27"/>
      <c r="AZ44" s="52"/>
    </row>
    <row r="45" spans="1:52" ht="12.75">
      <c r="A45" s="503">
        <v>31</v>
      </c>
      <c r="B45" s="89">
        <f t="shared" si="13"/>
        <v>0</v>
      </c>
      <c r="C45" s="89"/>
      <c r="D45" s="90">
        <f>IF(B45+F45-D44&lt;=0,B45+F45,IF(AND(Simulador!$U$62=1,$AF$3=2),B45*AJ45,D44))</f>
        <v>0</v>
      </c>
      <c r="E45" s="90"/>
      <c r="F45" s="90">
        <f t="shared" si="3"/>
        <v>0</v>
      </c>
      <c r="G45" s="90"/>
      <c r="H45" s="90">
        <f t="shared" si="14"/>
        <v>0</v>
      </c>
      <c r="I45" s="91"/>
      <c r="J45" s="92"/>
      <c r="K45" s="91"/>
      <c r="L45" s="90">
        <f>IF(Simulador!$T$41=1,0,J45*Simulador!$W$39*1.16)</f>
        <v>0</v>
      </c>
      <c r="M45" s="90"/>
      <c r="N45" s="94"/>
      <c r="O45" s="12"/>
      <c r="P45" s="544">
        <f t="shared" si="15"/>
        <v>0</v>
      </c>
      <c r="Q45" s="4"/>
      <c r="R45" s="90">
        <f t="shared" si="22"/>
        <v>0</v>
      </c>
      <c r="S45" s="90"/>
      <c r="T45" s="90">
        <f>_xlfn.IFERROR(IF(Simulador!$U$30=1,0,IF($B45&lt;=0,0,$B45*Simulador!$AA$43)),0)</f>
        <v>0</v>
      </c>
      <c r="U45" s="90"/>
      <c r="V45" s="90">
        <f>_xlfn.IFERROR(IF(Simulador!$U$30=1,0,IF($B45&lt;=0,0,IF(Simulador!$D$22&gt;0,Simulador!$D$22,Simulador!$O$24)*Simulador!$AA$44)),0)</f>
        <v>0</v>
      </c>
      <c r="W45" s="90"/>
      <c r="X45" s="90"/>
      <c r="Y45" s="90">
        <f t="shared" si="5"/>
        <v>0</v>
      </c>
      <c r="Z45" s="13"/>
      <c r="AA45" s="18"/>
      <c r="AB45" s="23"/>
      <c r="AC45" s="364"/>
      <c r="AD45" s="222">
        <v>2</v>
      </c>
      <c r="AE45" s="219">
        <v>7</v>
      </c>
      <c r="AF45" s="269">
        <f t="shared" si="6"/>
        <v>0</v>
      </c>
      <c r="AG45" s="209">
        <f t="shared" si="7"/>
        <v>0</v>
      </c>
      <c r="AH45" s="209">
        <f t="shared" si="8"/>
        <v>0</v>
      </c>
      <c r="AI45" s="219">
        <f t="shared" si="0"/>
        <v>0</v>
      </c>
      <c r="AJ45" s="425">
        <f t="shared" si="21"/>
        <v>0</v>
      </c>
      <c r="AK45" s="57">
        <f t="shared" si="18"/>
        <v>0</v>
      </c>
      <c r="AL45" s="57">
        <f t="shared" si="23"/>
        <v>0</v>
      </c>
      <c r="AM45" s="58">
        <f t="shared" si="2"/>
        <v>0</v>
      </c>
      <c r="AN45" s="57">
        <f t="shared" si="19"/>
        <v>0</v>
      </c>
      <c r="AO45" s="432">
        <f t="shared" si="20"/>
        <v>0</v>
      </c>
      <c r="AP45" s="90">
        <f>_xlfn.IFERROR(IF(Simulador!$U$30=1,0,IF($AK45&lt;=0,0,$AK45*Simulador!$AA$43)),0)+_xlfn.IFERROR(IF(Simulador!$U$30=1,0,IF($AK45&lt;=0,0,IF(Simulador!$D$22&gt;0,Simulador!$D$22,Simulador!$O$24)*Simulador!$AA$44)),0)</f>
        <v>0</v>
      </c>
      <c r="AQ45" s="90">
        <f t="shared" si="10"/>
        <v>0</v>
      </c>
      <c r="AR45" s="26">
        <f t="shared" si="16"/>
        <v>0</v>
      </c>
      <c r="AS45">
        <f t="shared" si="11"/>
        <v>0</v>
      </c>
      <c r="AT45" s="549">
        <f t="shared" si="17"/>
      </c>
      <c r="AU45" s="404">
        <f t="shared" si="12"/>
        <v>0</v>
      </c>
      <c r="AV45" s="52">
        <v>31</v>
      </c>
      <c r="AW45" s="27"/>
      <c r="AZ45" s="52"/>
    </row>
    <row r="46" spans="1:52" ht="12.75">
      <c r="A46" s="503">
        <v>32</v>
      </c>
      <c r="B46" s="89">
        <f t="shared" si="13"/>
        <v>0</v>
      </c>
      <c r="C46" s="89"/>
      <c r="D46" s="90">
        <f>IF(B46+F46-D45&lt;=0,B46+F46,IF(AND(Simulador!$U$62=1,$AF$3=2),B46*AJ46,D45))</f>
        <v>0</v>
      </c>
      <c r="E46" s="90"/>
      <c r="F46" s="90">
        <f t="shared" si="3"/>
        <v>0</v>
      </c>
      <c r="G46" s="90"/>
      <c r="H46" s="90">
        <f t="shared" si="14"/>
        <v>0</v>
      </c>
      <c r="I46" s="91"/>
      <c r="J46" s="92"/>
      <c r="K46" s="91"/>
      <c r="L46" s="90">
        <f>IF(Simulador!$T$41=1,0,J46*Simulador!$W$39*1.16)</f>
        <v>0</v>
      </c>
      <c r="M46" s="90"/>
      <c r="N46" s="93">
        <f>IF(B46-H46=0,0,N44)</f>
        <v>0</v>
      </c>
      <c r="O46" s="12"/>
      <c r="P46" s="544">
        <f t="shared" si="15"/>
        <v>0</v>
      </c>
      <c r="Q46" s="4"/>
      <c r="R46" s="90">
        <f t="shared" si="22"/>
        <v>0</v>
      </c>
      <c r="S46" s="90"/>
      <c r="T46" s="90">
        <f>_xlfn.IFERROR(IF(Simulador!$U$30=1,0,IF($B46&lt;=0,0,$B46*Simulador!$AA$43)),0)</f>
        <v>0</v>
      </c>
      <c r="U46" s="90"/>
      <c r="V46" s="90">
        <f>_xlfn.IFERROR(IF(Simulador!$U$30=1,0,IF($B46&lt;=0,0,IF(Simulador!$D$22&gt;0,Simulador!$D$22,Simulador!$O$24)*Simulador!$AA$44)),0)</f>
        <v>0</v>
      </c>
      <c r="W46" s="90"/>
      <c r="X46" s="90"/>
      <c r="Y46" s="90">
        <f t="shared" si="5"/>
        <v>0</v>
      </c>
      <c r="Z46" s="13"/>
      <c r="AA46" s="18"/>
      <c r="AB46" s="23"/>
      <c r="AC46" s="364"/>
      <c r="AD46" s="222">
        <v>2</v>
      </c>
      <c r="AE46" s="219">
        <v>8</v>
      </c>
      <c r="AF46" s="269">
        <f t="shared" si="6"/>
        <v>0</v>
      </c>
      <c r="AG46" s="209">
        <f t="shared" si="7"/>
        <v>0</v>
      </c>
      <c r="AH46" s="209">
        <f t="shared" si="8"/>
        <v>0</v>
      </c>
      <c r="AI46" s="219">
        <f t="shared" si="0"/>
        <v>0</v>
      </c>
      <c r="AJ46" s="425">
        <f t="shared" si="21"/>
        <v>0</v>
      </c>
      <c r="AK46" s="57">
        <f t="shared" si="18"/>
        <v>0</v>
      </c>
      <c r="AL46" s="57">
        <f t="shared" si="23"/>
        <v>0</v>
      </c>
      <c r="AM46" s="58">
        <f t="shared" si="2"/>
        <v>0</v>
      </c>
      <c r="AN46" s="57">
        <f t="shared" si="19"/>
        <v>0</v>
      </c>
      <c r="AO46" s="432">
        <f t="shared" si="20"/>
        <v>0</v>
      </c>
      <c r="AP46" s="90">
        <f>_xlfn.IFERROR(IF(Simulador!$U$30=1,0,IF($AK46&lt;=0,0,$AK46*Simulador!$AA$43)),0)+_xlfn.IFERROR(IF(Simulador!$U$30=1,0,IF($AK46&lt;=0,0,IF(Simulador!$D$22&gt;0,Simulador!$D$22,Simulador!$O$24)*Simulador!$AA$44)),0)</f>
        <v>0</v>
      </c>
      <c r="AQ46" s="90">
        <f t="shared" si="10"/>
        <v>0</v>
      </c>
      <c r="AR46" s="26">
        <f t="shared" si="16"/>
        <v>0</v>
      </c>
      <c r="AS46">
        <f t="shared" si="11"/>
        <v>0</v>
      </c>
      <c r="AT46" s="549">
        <f t="shared" si="17"/>
      </c>
      <c r="AU46" s="404">
        <f t="shared" si="12"/>
        <v>0</v>
      </c>
      <c r="AV46" s="52">
        <v>32</v>
      </c>
      <c r="AW46" s="27"/>
      <c r="AZ46" s="52"/>
    </row>
    <row r="47" spans="1:52" ht="12.75">
      <c r="A47" s="503">
        <v>33</v>
      </c>
      <c r="B47" s="89">
        <f t="shared" si="13"/>
        <v>0</v>
      </c>
      <c r="C47" s="89"/>
      <c r="D47" s="90">
        <f>IF(B47+F47-D46&lt;=0,B47+F47,IF(AND(Simulador!$U$62=1,$AF$3=2),B47*AJ47,D46))</f>
        <v>0</v>
      </c>
      <c r="E47" s="90"/>
      <c r="F47" s="90">
        <f t="shared" si="3"/>
        <v>0</v>
      </c>
      <c r="G47" s="90"/>
      <c r="H47" s="90">
        <f t="shared" si="14"/>
        <v>0</v>
      </c>
      <c r="I47" s="91"/>
      <c r="J47" s="92"/>
      <c r="K47" s="91"/>
      <c r="L47" s="90">
        <f>IF(Simulador!$T$41=1,0,J47*Simulador!$W$39*1.16)</f>
        <v>0</v>
      </c>
      <c r="M47" s="90"/>
      <c r="N47" s="94"/>
      <c r="O47" s="12"/>
      <c r="P47" s="544">
        <f t="shared" si="15"/>
        <v>0</v>
      </c>
      <c r="Q47" s="4"/>
      <c r="R47" s="90">
        <f t="shared" si="22"/>
        <v>0</v>
      </c>
      <c r="S47" s="90"/>
      <c r="T47" s="90">
        <f>_xlfn.IFERROR(IF(Simulador!$U$30=1,0,IF($B47&lt;=0,0,$B47*Simulador!$AA$43)),0)</f>
        <v>0</v>
      </c>
      <c r="U47" s="90"/>
      <c r="V47" s="90">
        <f>_xlfn.IFERROR(IF(Simulador!$U$30=1,0,IF($B47&lt;=0,0,IF(Simulador!$D$22&gt;0,Simulador!$D$22,Simulador!$O$24)*Simulador!$AA$44)),0)</f>
        <v>0</v>
      </c>
      <c r="W47" s="90"/>
      <c r="X47" s="90"/>
      <c r="Y47" s="90">
        <f t="shared" si="5"/>
        <v>0</v>
      </c>
      <c r="Z47" s="13"/>
      <c r="AA47" s="18"/>
      <c r="AB47" s="23"/>
      <c r="AC47" s="364"/>
      <c r="AD47" s="222">
        <v>2</v>
      </c>
      <c r="AE47" s="221">
        <v>9</v>
      </c>
      <c r="AF47" s="269">
        <f t="shared" si="6"/>
        <v>0</v>
      </c>
      <c r="AG47" s="209">
        <f t="shared" si="7"/>
        <v>0</v>
      </c>
      <c r="AH47" s="209">
        <f t="shared" si="8"/>
        <v>0</v>
      </c>
      <c r="AI47" s="219">
        <f t="shared" si="0"/>
        <v>0</v>
      </c>
      <c r="AJ47" s="425">
        <f t="shared" si="21"/>
        <v>0</v>
      </c>
      <c r="AK47" s="57">
        <f t="shared" si="18"/>
        <v>0</v>
      </c>
      <c r="AL47" s="57">
        <f t="shared" si="23"/>
        <v>0</v>
      </c>
      <c r="AM47" s="58">
        <f t="shared" si="2"/>
        <v>0</v>
      </c>
      <c r="AN47" s="57">
        <f t="shared" si="19"/>
        <v>0</v>
      </c>
      <c r="AO47" s="432">
        <f t="shared" si="20"/>
        <v>0</v>
      </c>
      <c r="AP47" s="90">
        <f>_xlfn.IFERROR(IF(Simulador!$U$30=1,0,IF($AK47&lt;=0,0,$AK47*Simulador!$AA$43)),0)+_xlfn.IFERROR(IF(Simulador!$U$30=1,0,IF($AK47&lt;=0,0,IF(Simulador!$D$22&gt;0,Simulador!$D$22,Simulador!$O$24)*Simulador!$AA$44)),0)</f>
        <v>0</v>
      </c>
      <c r="AQ47" s="90">
        <f t="shared" si="10"/>
        <v>0</v>
      </c>
      <c r="AR47" s="26">
        <f t="shared" si="16"/>
        <v>0</v>
      </c>
      <c r="AS47">
        <f t="shared" si="11"/>
        <v>0</v>
      </c>
      <c r="AT47" s="549">
        <f t="shared" si="17"/>
      </c>
      <c r="AU47" s="404">
        <f t="shared" si="12"/>
        <v>0</v>
      </c>
      <c r="AV47" s="52">
        <v>33</v>
      </c>
      <c r="AW47" s="27"/>
      <c r="AZ47" s="52"/>
    </row>
    <row r="48" spans="1:52" ht="12.75">
      <c r="A48" s="503">
        <v>34</v>
      </c>
      <c r="B48" s="89">
        <f t="shared" si="13"/>
        <v>0</v>
      </c>
      <c r="C48" s="89"/>
      <c r="D48" s="90">
        <f>IF(B48+F48-D47&lt;=0,B48+F48,IF(AND(Simulador!$U$62=1,$AF$3=2),B48*AJ48,D47))</f>
        <v>0</v>
      </c>
      <c r="E48" s="90"/>
      <c r="F48" s="90">
        <f t="shared" si="3"/>
        <v>0</v>
      </c>
      <c r="G48" s="90"/>
      <c r="H48" s="90">
        <f t="shared" si="14"/>
        <v>0</v>
      </c>
      <c r="I48" s="91"/>
      <c r="J48" s="92"/>
      <c r="K48" s="91"/>
      <c r="L48" s="90">
        <f>IF(Simulador!$T$41=1,0,J48*Simulador!$W$39*1.16)</f>
        <v>0</v>
      </c>
      <c r="M48" s="90"/>
      <c r="N48" s="93">
        <f>IF(B48-H48=0,0,N46)</f>
        <v>0</v>
      </c>
      <c r="O48" s="12"/>
      <c r="P48" s="544">
        <f t="shared" si="15"/>
        <v>0</v>
      </c>
      <c r="Q48" s="4"/>
      <c r="R48" s="90">
        <f t="shared" si="22"/>
        <v>0</v>
      </c>
      <c r="S48" s="90"/>
      <c r="T48" s="90">
        <f>_xlfn.IFERROR(IF(Simulador!$U$30=1,0,IF($B48&lt;=0,0,$B48*Simulador!$AA$43)),0)</f>
        <v>0</v>
      </c>
      <c r="U48" s="90"/>
      <c r="V48" s="90">
        <f>_xlfn.IFERROR(IF(Simulador!$U$30=1,0,IF($B48&lt;=0,0,IF(Simulador!$D$22&gt;0,Simulador!$D$22,Simulador!$O$24)*Simulador!$AA$44)),0)</f>
        <v>0</v>
      </c>
      <c r="W48" s="90"/>
      <c r="X48" s="90"/>
      <c r="Y48" s="90">
        <f t="shared" si="5"/>
        <v>0</v>
      </c>
      <c r="Z48" s="13"/>
      <c r="AA48" s="18"/>
      <c r="AB48" s="23"/>
      <c r="AC48" s="364"/>
      <c r="AD48" s="222">
        <v>2</v>
      </c>
      <c r="AE48" s="221">
        <v>10</v>
      </c>
      <c r="AF48" s="269">
        <f t="shared" si="6"/>
        <v>0</v>
      </c>
      <c r="AG48" s="209">
        <f t="shared" si="7"/>
        <v>0</v>
      </c>
      <c r="AH48" s="209">
        <f t="shared" si="8"/>
        <v>0</v>
      </c>
      <c r="AI48" s="219">
        <f t="shared" si="0"/>
        <v>0</v>
      </c>
      <c r="AJ48" s="425">
        <f t="shared" si="21"/>
        <v>0</v>
      </c>
      <c r="AK48" s="57">
        <f t="shared" si="18"/>
        <v>0</v>
      </c>
      <c r="AL48" s="57">
        <f t="shared" si="23"/>
        <v>0</v>
      </c>
      <c r="AM48" s="58">
        <f t="shared" si="2"/>
        <v>0</v>
      </c>
      <c r="AN48" s="57">
        <f t="shared" si="19"/>
        <v>0</v>
      </c>
      <c r="AO48" s="432">
        <f t="shared" si="20"/>
        <v>0</v>
      </c>
      <c r="AP48" s="90">
        <f>_xlfn.IFERROR(IF(Simulador!$U$30=1,0,IF($AK48&lt;=0,0,$AK48*Simulador!$AA$43)),0)+_xlfn.IFERROR(IF(Simulador!$U$30=1,0,IF($AK48&lt;=0,0,IF(Simulador!$D$22&gt;0,Simulador!$D$22,Simulador!$O$24)*Simulador!$AA$44)),0)</f>
        <v>0</v>
      </c>
      <c r="AQ48" s="90">
        <f t="shared" si="10"/>
        <v>0</v>
      </c>
      <c r="AR48" s="26">
        <f t="shared" si="16"/>
        <v>0</v>
      </c>
      <c r="AS48">
        <f t="shared" si="11"/>
        <v>0</v>
      </c>
      <c r="AT48" s="549">
        <f t="shared" si="17"/>
      </c>
      <c r="AU48" s="404">
        <f t="shared" si="12"/>
        <v>0</v>
      </c>
      <c r="AV48" s="52">
        <v>34</v>
      </c>
      <c r="AW48" s="27"/>
      <c r="AZ48" s="52"/>
    </row>
    <row r="49" spans="1:52" ht="12.75">
      <c r="A49" s="503">
        <v>35</v>
      </c>
      <c r="B49" s="89">
        <f t="shared" si="13"/>
        <v>0</v>
      </c>
      <c r="C49" s="89"/>
      <c r="D49" s="90">
        <f>IF(B49+F49-D48&lt;=0,B49+F49,IF(AND(Simulador!$U$62=1,$AF$3=2),B49*AJ49,D48))</f>
        <v>0</v>
      </c>
      <c r="E49" s="90"/>
      <c r="F49" s="90">
        <f t="shared" si="3"/>
        <v>0</v>
      </c>
      <c r="G49" s="90"/>
      <c r="H49" s="90">
        <f t="shared" si="14"/>
        <v>0</v>
      </c>
      <c r="I49" s="91"/>
      <c r="J49" s="92"/>
      <c r="K49" s="91"/>
      <c r="L49" s="90">
        <f>IF(Simulador!$T$41=1,0,J49*Simulador!$W$39*1.16)</f>
        <v>0</v>
      </c>
      <c r="M49" s="90"/>
      <c r="N49" s="94"/>
      <c r="O49" s="12"/>
      <c r="P49" s="544">
        <f t="shared" si="15"/>
        <v>0</v>
      </c>
      <c r="Q49" s="4"/>
      <c r="R49" s="90">
        <f t="shared" si="22"/>
        <v>0</v>
      </c>
      <c r="S49" s="90"/>
      <c r="T49" s="90">
        <f>_xlfn.IFERROR(IF(Simulador!$U$30=1,0,IF($B49&lt;=0,0,$B49*Simulador!$AA$43)),0)</f>
        <v>0</v>
      </c>
      <c r="U49" s="90"/>
      <c r="V49" s="90">
        <f>_xlfn.IFERROR(IF(Simulador!$U$30=1,0,IF($B49&lt;=0,0,IF(Simulador!$D$22&gt;0,Simulador!$D$22,Simulador!$O$24)*Simulador!$AA$44)),0)</f>
        <v>0</v>
      </c>
      <c r="W49" s="90"/>
      <c r="X49" s="90"/>
      <c r="Y49" s="90">
        <f t="shared" si="5"/>
        <v>0</v>
      </c>
      <c r="Z49" s="13"/>
      <c r="AA49" s="18"/>
      <c r="AB49" s="23"/>
      <c r="AC49" s="364"/>
      <c r="AD49" s="222">
        <v>2</v>
      </c>
      <c r="AE49" s="219">
        <v>11</v>
      </c>
      <c r="AF49" s="269">
        <f t="shared" si="6"/>
        <v>0</v>
      </c>
      <c r="AG49" s="209">
        <f t="shared" si="7"/>
        <v>0</v>
      </c>
      <c r="AH49" s="209">
        <f t="shared" si="8"/>
        <v>0</v>
      </c>
      <c r="AI49" s="219">
        <f t="shared" si="0"/>
        <v>0</v>
      </c>
      <c r="AJ49" s="425">
        <f t="shared" si="21"/>
        <v>0</v>
      </c>
      <c r="AK49" s="57">
        <f t="shared" si="18"/>
        <v>0</v>
      </c>
      <c r="AL49" s="57">
        <f t="shared" si="23"/>
        <v>0</v>
      </c>
      <c r="AM49" s="58">
        <f t="shared" si="2"/>
        <v>0</v>
      </c>
      <c r="AN49" s="57">
        <f t="shared" si="19"/>
        <v>0</v>
      </c>
      <c r="AO49" s="432">
        <f t="shared" si="20"/>
        <v>0</v>
      </c>
      <c r="AP49" s="90">
        <f>_xlfn.IFERROR(IF(Simulador!$U$30=1,0,IF($AK49&lt;=0,0,$AK49*Simulador!$AA$43)),0)+_xlfn.IFERROR(IF(Simulador!$U$30=1,0,IF($AK49&lt;=0,0,IF(Simulador!$D$22&gt;0,Simulador!$D$22,Simulador!$O$24)*Simulador!$AA$44)),0)</f>
        <v>0</v>
      </c>
      <c r="AQ49" s="90">
        <f t="shared" si="10"/>
        <v>0</v>
      </c>
      <c r="AR49" s="26">
        <f t="shared" si="16"/>
        <v>0</v>
      </c>
      <c r="AS49">
        <f t="shared" si="11"/>
        <v>0</v>
      </c>
      <c r="AT49" s="549">
        <f t="shared" si="17"/>
      </c>
      <c r="AU49" s="404">
        <f t="shared" si="12"/>
        <v>0</v>
      </c>
      <c r="AV49" s="52">
        <v>35</v>
      </c>
      <c r="AW49" s="27"/>
      <c r="AZ49" s="52"/>
    </row>
    <row r="50" spans="1:52" ht="12.75">
      <c r="A50" s="503">
        <v>36</v>
      </c>
      <c r="B50" s="89">
        <f t="shared" si="13"/>
        <v>0</v>
      </c>
      <c r="C50" s="89"/>
      <c r="D50" s="90">
        <f>IF(B50+F50-D49&lt;=0,B50+F50,IF(AND(Simulador!$U$62=1,$AF$3=2),B50*AJ50,D49))</f>
        <v>0</v>
      </c>
      <c r="E50" s="90"/>
      <c r="F50" s="90">
        <f t="shared" si="3"/>
        <v>0</v>
      </c>
      <c r="G50" s="90"/>
      <c r="H50" s="90">
        <f t="shared" si="14"/>
        <v>0</v>
      </c>
      <c r="I50" s="91"/>
      <c r="J50" s="92"/>
      <c r="K50" s="91"/>
      <c r="L50" s="90">
        <f>IF(Simulador!$T$41=1,0,J50*Simulador!$W$39*1.16)</f>
        <v>0</v>
      </c>
      <c r="M50" s="90"/>
      <c r="N50" s="93">
        <f>IF(B50-H50=0,0,N48)</f>
        <v>0</v>
      </c>
      <c r="O50" s="12"/>
      <c r="P50" s="544">
        <f t="shared" si="15"/>
        <v>0</v>
      </c>
      <c r="Q50" s="4"/>
      <c r="R50" s="90">
        <f t="shared" si="22"/>
        <v>0</v>
      </c>
      <c r="S50" s="90"/>
      <c r="T50" s="90">
        <f>_xlfn.IFERROR(IF(Simulador!$U$30=1,0,IF($B50&lt;=0,0,$B50*Simulador!$AA$43)),0)</f>
        <v>0</v>
      </c>
      <c r="U50" s="90"/>
      <c r="V50" s="90">
        <f>_xlfn.IFERROR(IF(Simulador!$U$30=1,0,IF($B50&lt;=0,0,IF(Simulador!$D$22&gt;0,Simulador!$D$22,Simulador!$O$24)*Simulador!$AA$44)),0)</f>
        <v>0</v>
      </c>
      <c r="W50" s="90"/>
      <c r="X50" s="90"/>
      <c r="Y50" s="90">
        <f t="shared" si="5"/>
        <v>0</v>
      </c>
      <c r="Z50" s="13"/>
      <c r="AA50" s="18"/>
      <c r="AB50" s="23"/>
      <c r="AC50" s="364"/>
      <c r="AD50" s="222">
        <v>3</v>
      </c>
      <c r="AE50" s="219">
        <v>0</v>
      </c>
      <c r="AF50" s="269">
        <f t="shared" si="6"/>
        <v>0</v>
      </c>
      <c r="AG50" s="209">
        <f t="shared" si="7"/>
        <v>0</v>
      </c>
      <c r="AH50" s="209">
        <f t="shared" si="8"/>
        <v>0</v>
      </c>
      <c r="AI50" s="219">
        <f t="shared" si="0"/>
        <v>0</v>
      </c>
      <c r="AJ50" s="425">
        <f t="shared" si="21"/>
        <v>0</v>
      </c>
      <c r="AK50" s="57">
        <f t="shared" si="18"/>
        <v>0</v>
      </c>
      <c r="AL50" s="57">
        <f t="shared" si="23"/>
        <v>0</v>
      </c>
      <c r="AM50" s="58">
        <f t="shared" si="2"/>
        <v>0</v>
      </c>
      <c r="AN50" s="57">
        <f t="shared" si="19"/>
        <v>0</v>
      </c>
      <c r="AO50" s="432">
        <f t="shared" si="20"/>
        <v>0</v>
      </c>
      <c r="AP50" s="90">
        <f>_xlfn.IFERROR(IF(Simulador!$U$30=1,0,IF($AK50&lt;=0,0,$AK50*Simulador!$AA$43)),0)+_xlfn.IFERROR(IF(Simulador!$U$30=1,0,IF($AK50&lt;=0,0,IF(Simulador!$D$22&gt;0,Simulador!$D$22,Simulador!$O$24)*Simulador!$AA$44)),0)</f>
        <v>0</v>
      </c>
      <c r="AQ50" s="90">
        <f t="shared" si="10"/>
        <v>0</v>
      </c>
      <c r="AR50" s="26">
        <f t="shared" si="16"/>
        <v>0</v>
      </c>
      <c r="AS50">
        <f t="shared" si="11"/>
        <v>0</v>
      </c>
      <c r="AT50" s="549">
        <f t="shared" si="17"/>
      </c>
      <c r="AU50" s="404">
        <f t="shared" si="12"/>
        <v>0</v>
      </c>
      <c r="AV50" s="52">
        <v>36</v>
      </c>
      <c r="AW50" s="27"/>
      <c r="AZ50" s="52"/>
    </row>
    <row r="51" spans="1:52" ht="12.75">
      <c r="A51" s="503">
        <v>37</v>
      </c>
      <c r="B51" s="89">
        <f t="shared" si="13"/>
        <v>0</v>
      </c>
      <c r="C51" s="89"/>
      <c r="D51" s="90">
        <f>IF(B51+F51-D50&lt;=0,B51+F51,IF(AND(Simulador!$U$62=1,$AF$3=2),B51*AJ51,D50))</f>
        <v>0</v>
      </c>
      <c r="E51" s="90"/>
      <c r="F51" s="90">
        <f t="shared" si="3"/>
        <v>0</v>
      </c>
      <c r="G51" s="90"/>
      <c r="H51" s="90">
        <f t="shared" si="14"/>
        <v>0</v>
      </c>
      <c r="I51" s="91"/>
      <c r="J51" s="92"/>
      <c r="K51" s="91"/>
      <c r="L51" s="90">
        <f>IF(Simulador!$T$41=1,0,J51*Simulador!$W$39*1.16)</f>
        <v>0</v>
      </c>
      <c r="M51" s="90"/>
      <c r="N51" s="94"/>
      <c r="O51" s="12"/>
      <c r="P51" s="544">
        <f t="shared" si="15"/>
        <v>0</v>
      </c>
      <c r="Q51" s="4"/>
      <c r="R51" s="90">
        <f t="shared" si="22"/>
        <v>0</v>
      </c>
      <c r="S51" s="90"/>
      <c r="T51" s="90">
        <f>_xlfn.IFERROR(IF(Simulador!$U$30=1,0,IF($B51&lt;=0,0,$B51*Simulador!$AA$43)),0)</f>
        <v>0</v>
      </c>
      <c r="U51" s="90"/>
      <c r="V51" s="90">
        <f>_xlfn.IFERROR(IF(Simulador!$U$30=1,0,IF($B51&lt;=0,0,IF(Simulador!$D$22&gt;0,Simulador!$D$22,Simulador!$O$24)*Simulador!$AA$44)),0)</f>
        <v>0</v>
      </c>
      <c r="W51" s="90"/>
      <c r="X51" s="90"/>
      <c r="Y51" s="90">
        <f t="shared" si="5"/>
        <v>0</v>
      </c>
      <c r="Z51" s="13"/>
      <c r="AA51" s="18">
        <f>IF(B51&lt;=0,0,Simulador!$I$45)</f>
        <v>0</v>
      </c>
      <c r="AB51" s="23"/>
      <c r="AC51" s="364"/>
      <c r="AD51" s="222">
        <v>3</v>
      </c>
      <c r="AE51" s="219">
        <v>1</v>
      </c>
      <c r="AF51" s="269">
        <f t="shared" si="6"/>
        <v>0</v>
      </c>
      <c r="AG51" s="209">
        <f t="shared" si="7"/>
        <v>0</v>
      </c>
      <c r="AH51" s="209">
        <f t="shared" si="8"/>
        <v>0</v>
      </c>
      <c r="AI51" s="219">
        <f t="shared" si="0"/>
        <v>0</v>
      </c>
      <c r="AJ51" s="425">
        <f t="shared" si="21"/>
        <v>0</v>
      </c>
      <c r="AK51" s="57">
        <f t="shared" si="18"/>
        <v>0</v>
      </c>
      <c r="AL51" s="57">
        <f t="shared" si="23"/>
        <v>0</v>
      </c>
      <c r="AM51" s="58">
        <f t="shared" si="2"/>
        <v>0</v>
      </c>
      <c r="AN51" s="57">
        <f t="shared" si="19"/>
        <v>0</v>
      </c>
      <c r="AO51" s="432">
        <f t="shared" si="20"/>
        <v>0</v>
      </c>
      <c r="AP51" s="90">
        <f>_xlfn.IFERROR(IF(Simulador!$U$30=1,0,IF($AK51&lt;=0,0,$AK51*Simulador!$AA$43)),0)+_xlfn.IFERROR(IF(Simulador!$U$30=1,0,IF($AK51&lt;=0,0,IF(Simulador!$D$22&gt;0,Simulador!$D$22,Simulador!$O$24)*Simulador!$AA$44)),0)</f>
        <v>0</v>
      </c>
      <c r="AQ51" s="90">
        <f t="shared" si="10"/>
        <v>0</v>
      </c>
      <c r="AR51" s="26">
        <f t="shared" si="16"/>
        <v>0</v>
      </c>
      <c r="AS51">
        <f t="shared" si="11"/>
        <v>0</v>
      </c>
      <c r="AT51" s="549">
        <f t="shared" si="17"/>
      </c>
      <c r="AU51" s="404">
        <f t="shared" si="12"/>
        <v>0</v>
      </c>
      <c r="AV51" s="52">
        <v>37</v>
      </c>
      <c r="AW51" s="27"/>
      <c r="AZ51" s="52"/>
    </row>
    <row r="52" spans="1:52" ht="12.75">
      <c r="A52" s="503">
        <v>38</v>
      </c>
      <c r="B52" s="89">
        <f t="shared" si="13"/>
        <v>0</v>
      </c>
      <c r="C52" s="89"/>
      <c r="D52" s="90">
        <f>IF(B52+F52-D51&lt;=0,B52+F52,IF(AND(Simulador!$U$62=1,$AF$3=2),B52*AJ52,D51))</f>
        <v>0</v>
      </c>
      <c r="E52" s="90"/>
      <c r="F52" s="90">
        <f t="shared" si="3"/>
        <v>0</v>
      </c>
      <c r="G52" s="90"/>
      <c r="H52" s="90">
        <f t="shared" si="14"/>
        <v>0</v>
      </c>
      <c r="I52" s="91"/>
      <c r="J52" s="92"/>
      <c r="K52" s="91"/>
      <c r="L52" s="90">
        <f>IF(Simulador!$T$41=1,0,J52*Simulador!$W$39*1.16)</f>
        <v>0</v>
      </c>
      <c r="M52" s="90"/>
      <c r="N52" s="93">
        <f>IF(B52-H52=0,0,N50*(1+(Simulador!$AH$72)))</f>
        <v>0</v>
      </c>
      <c r="O52" s="12"/>
      <c r="P52" s="544">
        <f t="shared" si="15"/>
        <v>0</v>
      </c>
      <c r="Q52" s="4"/>
      <c r="R52" s="90">
        <f t="shared" si="22"/>
        <v>0</v>
      </c>
      <c r="S52" s="90"/>
      <c r="T52" s="90">
        <f>_xlfn.IFERROR(IF(Simulador!$U$30=1,0,IF($B52&lt;=0,0,$B52*Simulador!$AA$43)),0)</f>
        <v>0</v>
      </c>
      <c r="U52" s="90"/>
      <c r="V52" s="90">
        <f>_xlfn.IFERROR(IF(Simulador!$U$30=1,0,IF($B52&lt;=0,0,IF(Simulador!$D$22&gt;0,Simulador!$D$22,Simulador!$O$24)*Simulador!$AA$44)),0)</f>
        <v>0</v>
      </c>
      <c r="W52" s="90"/>
      <c r="X52" s="90"/>
      <c r="Y52" s="90">
        <f t="shared" si="5"/>
        <v>0</v>
      </c>
      <c r="Z52" s="13"/>
      <c r="AA52" s="18"/>
      <c r="AB52" s="23"/>
      <c r="AC52" s="364"/>
      <c r="AD52" s="222">
        <v>3</v>
      </c>
      <c r="AE52" s="220">
        <v>2</v>
      </c>
      <c r="AF52" s="269">
        <f t="shared" si="6"/>
        <v>0</v>
      </c>
      <c r="AG52" s="209">
        <f t="shared" si="7"/>
        <v>0</v>
      </c>
      <c r="AH52" s="209">
        <f t="shared" si="8"/>
        <v>0</v>
      </c>
      <c r="AI52" s="219">
        <f t="shared" si="0"/>
        <v>0</v>
      </c>
      <c r="AJ52" s="425">
        <f t="shared" si="21"/>
        <v>0</v>
      </c>
      <c r="AK52" s="57">
        <f t="shared" si="18"/>
        <v>0</v>
      </c>
      <c r="AL52" s="57">
        <f t="shared" si="23"/>
        <v>0</v>
      </c>
      <c r="AM52" s="58">
        <f t="shared" si="2"/>
        <v>0</v>
      </c>
      <c r="AN52" s="57">
        <f t="shared" si="19"/>
        <v>0</v>
      </c>
      <c r="AO52" s="432">
        <f t="shared" si="20"/>
        <v>0</v>
      </c>
      <c r="AP52" s="90">
        <f>_xlfn.IFERROR(IF(Simulador!$U$30=1,0,IF($AK52&lt;=0,0,$AK52*Simulador!$AA$43)),0)+_xlfn.IFERROR(IF(Simulador!$U$30=1,0,IF($AK52&lt;=0,0,IF(Simulador!$D$22&gt;0,Simulador!$D$22,Simulador!$O$24)*Simulador!$AA$44)),0)</f>
        <v>0</v>
      </c>
      <c r="AQ52" s="90">
        <f t="shared" si="10"/>
        <v>0</v>
      </c>
      <c r="AR52" s="26">
        <f t="shared" si="16"/>
        <v>0</v>
      </c>
      <c r="AS52">
        <f t="shared" si="11"/>
        <v>0</v>
      </c>
      <c r="AT52" s="549">
        <f t="shared" si="17"/>
      </c>
      <c r="AU52" s="404">
        <f t="shared" si="12"/>
        <v>0</v>
      </c>
      <c r="AV52" s="52">
        <v>38</v>
      </c>
      <c r="AW52" s="27"/>
      <c r="AZ52" s="52"/>
    </row>
    <row r="53" spans="1:52" ht="12.75">
      <c r="A53" s="503">
        <v>39</v>
      </c>
      <c r="B53" s="89">
        <f t="shared" si="13"/>
        <v>0</v>
      </c>
      <c r="C53" s="89"/>
      <c r="D53" s="90">
        <f>IF(B53+F53-D52&lt;=0,B53+F53,IF(AND(Simulador!$U$62=1,$AF$3=2),B53*AJ53,D52))</f>
        <v>0</v>
      </c>
      <c r="E53" s="90"/>
      <c r="F53" s="90">
        <f t="shared" si="3"/>
        <v>0</v>
      </c>
      <c r="G53" s="90"/>
      <c r="H53" s="90">
        <f t="shared" si="14"/>
        <v>0</v>
      </c>
      <c r="I53" s="91"/>
      <c r="J53" s="92"/>
      <c r="K53" s="91"/>
      <c r="L53" s="90">
        <f>IF(Simulador!$T$41=1,0,J53*Simulador!$W$39*1.16)</f>
        <v>0</v>
      </c>
      <c r="M53" s="90"/>
      <c r="N53" s="94"/>
      <c r="O53" s="12"/>
      <c r="P53" s="544">
        <f t="shared" si="15"/>
        <v>0</v>
      </c>
      <c r="Q53" s="4"/>
      <c r="R53" s="90">
        <f t="shared" si="22"/>
        <v>0</v>
      </c>
      <c r="S53" s="90"/>
      <c r="T53" s="90">
        <f>_xlfn.IFERROR(IF(Simulador!$U$30=1,0,IF($B53&lt;=0,0,$B53*Simulador!$AA$43)),0)</f>
        <v>0</v>
      </c>
      <c r="U53" s="90"/>
      <c r="V53" s="90">
        <f>_xlfn.IFERROR(IF(Simulador!$U$30=1,0,IF($B53&lt;=0,0,IF(Simulador!$D$22&gt;0,Simulador!$D$22,Simulador!$O$24)*Simulador!$AA$44)),0)</f>
        <v>0</v>
      </c>
      <c r="W53" s="90"/>
      <c r="X53" s="90"/>
      <c r="Y53" s="90">
        <f t="shared" si="5"/>
        <v>0</v>
      </c>
      <c r="Z53" s="13"/>
      <c r="AA53" s="18"/>
      <c r="AB53" s="23"/>
      <c r="AC53" s="364"/>
      <c r="AD53" s="222">
        <v>3</v>
      </c>
      <c r="AE53" s="220">
        <v>3</v>
      </c>
      <c r="AF53" s="269">
        <f t="shared" si="6"/>
        <v>0</v>
      </c>
      <c r="AG53" s="209">
        <f t="shared" si="7"/>
        <v>0</v>
      </c>
      <c r="AH53" s="209">
        <f t="shared" si="8"/>
        <v>0</v>
      </c>
      <c r="AI53" s="219">
        <f t="shared" si="0"/>
        <v>0</v>
      </c>
      <c r="AJ53" s="425">
        <f t="shared" si="21"/>
        <v>0</v>
      </c>
      <c r="AK53" s="57">
        <f t="shared" si="18"/>
        <v>0</v>
      </c>
      <c r="AL53" s="57">
        <f t="shared" si="23"/>
        <v>0</v>
      </c>
      <c r="AM53" s="58">
        <f t="shared" si="2"/>
        <v>0</v>
      </c>
      <c r="AN53" s="57">
        <f t="shared" si="19"/>
        <v>0</v>
      </c>
      <c r="AO53" s="432">
        <f t="shared" si="20"/>
        <v>0</v>
      </c>
      <c r="AP53" s="90">
        <f>_xlfn.IFERROR(IF(Simulador!$U$30=1,0,IF($AK53&lt;=0,0,$AK53*Simulador!$AA$43)),0)+_xlfn.IFERROR(IF(Simulador!$U$30=1,0,IF($AK53&lt;=0,0,IF(Simulador!$D$22&gt;0,Simulador!$D$22,Simulador!$O$24)*Simulador!$AA$44)),0)</f>
        <v>0</v>
      </c>
      <c r="AQ53" s="90">
        <f t="shared" si="10"/>
        <v>0</v>
      </c>
      <c r="AR53" s="26">
        <f t="shared" si="16"/>
        <v>0</v>
      </c>
      <c r="AS53">
        <f t="shared" si="11"/>
        <v>0</v>
      </c>
      <c r="AT53" s="549">
        <f t="shared" si="17"/>
      </c>
      <c r="AU53" s="404">
        <f t="shared" si="12"/>
        <v>0</v>
      </c>
      <c r="AV53" s="52">
        <v>39</v>
      </c>
      <c r="AW53" s="27"/>
      <c r="AZ53" s="52"/>
    </row>
    <row r="54" spans="1:52" ht="12.75">
      <c r="A54" s="503">
        <v>40</v>
      </c>
      <c r="B54" s="89">
        <f t="shared" si="13"/>
        <v>0</v>
      </c>
      <c r="C54" s="89"/>
      <c r="D54" s="90">
        <f>IF(B54+F54-D53&lt;=0,B54+F54,IF(AND(Simulador!$U$62=1,$AF$3=2),B54*AJ54,D53))</f>
        <v>0</v>
      </c>
      <c r="E54" s="90"/>
      <c r="F54" s="90">
        <f t="shared" si="3"/>
        <v>0</v>
      </c>
      <c r="G54" s="90"/>
      <c r="H54" s="90">
        <f t="shared" si="14"/>
        <v>0</v>
      </c>
      <c r="I54" s="91"/>
      <c r="J54" s="92"/>
      <c r="K54" s="91"/>
      <c r="L54" s="90">
        <f>IF(Simulador!$T$41=1,0,J54*Simulador!$W$39*1.16)</f>
        <v>0</v>
      </c>
      <c r="M54" s="90"/>
      <c r="N54" s="93">
        <f>IF(B54-H54=0,0,N52)</f>
        <v>0</v>
      </c>
      <c r="O54" s="12"/>
      <c r="P54" s="544">
        <f t="shared" si="15"/>
        <v>0</v>
      </c>
      <c r="Q54" s="4"/>
      <c r="R54" s="90">
        <f t="shared" si="22"/>
        <v>0</v>
      </c>
      <c r="S54" s="90"/>
      <c r="T54" s="90">
        <f>_xlfn.IFERROR(IF(Simulador!$U$30=1,0,IF($B54&lt;=0,0,$B54*Simulador!$AA$43)),0)</f>
        <v>0</v>
      </c>
      <c r="U54" s="90"/>
      <c r="V54" s="90">
        <f>_xlfn.IFERROR(IF(Simulador!$U$30=1,0,IF($B54&lt;=0,0,IF(Simulador!$D$22&gt;0,Simulador!$D$22,Simulador!$O$24)*Simulador!$AA$44)),0)</f>
        <v>0</v>
      </c>
      <c r="W54" s="90"/>
      <c r="X54" s="90"/>
      <c r="Y54" s="90">
        <f t="shared" si="5"/>
        <v>0</v>
      </c>
      <c r="Z54" s="13"/>
      <c r="AA54" s="18"/>
      <c r="AB54" s="23"/>
      <c r="AC54" s="364"/>
      <c r="AD54" s="222">
        <v>3</v>
      </c>
      <c r="AE54" s="219">
        <v>4</v>
      </c>
      <c r="AF54" s="269">
        <f t="shared" si="6"/>
        <v>0</v>
      </c>
      <c r="AG54" s="209">
        <f t="shared" si="7"/>
        <v>0</v>
      </c>
      <c r="AH54" s="209">
        <f t="shared" si="8"/>
        <v>0</v>
      </c>
      <c r="AI54" s="219">
        <f t="shared" si="0"/>
        <v>0</v>
      </c>
      <c r="AJ54" s="425">
        <f t="shared" si="21"/>
        <v>0</v>
      </c>
      <c r="AK54" s="57">
        <f t="shared" si="18"/>
        <v>0</v>
      </c>
      <c r="AL54" s="57">
        <f t="shared" si="23"/>
        <v>0</v>
      </c>
      <c r="AM54" s="58">
        <f t="shared" si="2"/>
        <v>0</v>
      </c>
      <c r="AN54" s="57">
        <f t="shared" si="19"/>
        <v>0</v>
      </c>
      <c r="AO54" s="432">
        <f t="shared" si="20"/>
        <v>0</v>
      </c>
      <c r="AP54" s="90">
        <f>_xlfn.IFERROR(IF(Simulador!$U$30=1,0,IF($AK54&lt;=0,0,$AK54*Simulador!$AA$43)),0)+_xlfn.IFERROR(IF(Simulador!$U$30=1,0,IF($AK54&lt;=0,0,IF(Simulador!$D$22&gt;0,Simulador!$D$22,Simulador!$O$24)*Simulador!$AA$44)),0)</f>
        <v>0</v>
      </c>
      <c r="AQ54" s="90">
        <f t="shared" si="10"/>
        <v>0</v>
      </c>
      <c r="AR54" s="26">
        <f t="shared" si="16"/>
        <v>0</v>
      </c>
      <c r="AS54">
        <f t="shared" si="11"/>
        <v>0</v>
      </c>
      <c r="AT54" s="549">
        <f t="shared" si="17"/>
      </c>
      <c r="AU54" s="404">
        <f t="shared" si="12"/>
        <v>0</v>
      </c>
      <c r="AV54" s="52">
        <v>40</v>
      </c>
      <c r="AW54" s="27"/>
      <c r="AZ54" s="52"/>
    </row>
    <row r="55" spans="1:52" ht="12.75">
      <c r="A55" s="503">
        <v>41</v>
      </c>
      <c r="B55" s="89">
        <f t="shared" si="13"/>
        <v>0</v>
      </c>
      <c r="C55" s="89"/>
      <c r="D55" s="90">
        <f>IF(B55+F55-D54&lt;=0,B55+F55,IF(AND(Simulador!$U$62=1,$AF$3=2),B55*AJ55,D54))</f>
        <v>0</v>
      </c>
      <c r="E55" s="90"/>
      <c r="F55" s="90">
        <f t="shared" si="3"/>
        <v>0</v>
      </c>
      <c r="G55" s="90"/>
      <c r="H55" s="90">
        <f t="shared" si="14"/>
        <v>0</v>
      </c>
      <c r="I55" s="91"/>
      <c r="J55" s="92"/>
      <c r="K55" s="91"/>
      <c r="L55" s="90">
        <f>IF(Simulador!$T$41=1,0,J55*Simulador!$W$39*1.16)</f>
        <v>0</v>
      </c>
      <c r="M55" s="90"/>
      <c r="N55" s="94"/>
      <c r="O55" s="12"/>
      <c r="P55" s="544">
        <f t="shared" si="15"/>
        <v>0</v>
      </c>
      <c r="Q55" s="4"/>
      <c r="R55" s="90">
        <f t="shared" si="22"/>
        <v>0</v>
      </c>
      <c r="S55" s="90"/>
      <c r="T55" s="90">
        <f>_xlfn.IFERROR(IF(Simulador!$U$30=1,0,IF($B55&lt;=0,0,$B55*Simulador!$AA$43)),0)</f>
        <v>0</v>
      </c>
      <c r="U55" s="90"/>
      <c r="V55" s="90">
        <f>_xlfn.IFERROR(IF(Simulador!$U$30=1,0,IF($B55&lt;=0,0,IF(Simulador!$D$22&gt;0,Simulador!$D$22,Simulador!$O$24)*Simulador!$AA$44)),0)</f>
        <v>0</v>
      </c>
      <c r="W55" s="90"/>
      <c r="X55" s="90"/>
      <c r="Y55" s="90">
        <f t="shared" si="5"/>
        <v>0</v>
      </c>
      <c r="Z55" s="13"/>
      <c r="AA55" s="18"/>
      <c r="AB55" s="23"/>
      <c r="AC55" s="364"/>
      <c r="AD55" s="222">
        <v>3</v>
      </c>
      <c r="AE55" s="219">
        <v>5</v>
      </c>
      <c r="AF55" s="269">
        <f t="shared" si="6"/>
        <v>0</v>
      </c>
      <c r="AG55" s="209">
        <f t="shared" si="7"/>
        <v>0</v>
      </c>
      <c r="AH55" s="209">
        <f t="shared" si="8"/>
        <v>0</v>
      </c>
      <c r="AI55" s="219">
        <f t="shared" si="0"/>
        <v>0</v>
      </c>
      <c r="AJ55" s="425">
        <f t="shared" si="21"/>
        <v>0</v>
      </c>
      <c r="AK55" s="57">
        <f t="shared" si="18"/>
        <v>0</v>
      </c>
      <c r="AL55" s="57">
        <f t="shared" si="23"/>
        <v>0</v>
      </c>
      <c r="AM55" s="58">
        <f t="shared" si="2"/>
        <v>0</v>
      </c>
      <c r="AN55" s="57">
        <f t="shared" si="19"/>
        <v>0</v>
      </c>
      <c r="AO55" s="432">
        <f t="shared" si="20"/>
        <v>0</v>
      </c>
      <c r="AP55" s="90">
        <f>_xlfn.IFERROR(IF(Simulador!$U$30=1,0,IF($AK55&lt;=0,0,$AK55*Simulador!$AA$43)),0)+_xlfn.IFERROR(IF(Simulador!$U$30=1,0,IF($AK55&lt;=0,0,IF(Simulador!$D$22&gt;0,Simulador!$D$22,Simulador!$O$24)*Simulador!$AA$44)),0)</f>
        <v>0</v>
      </c>
      <c r="AQ55" s="90">
        <f t="shared" si="10"/>
        <v>0</v>
      </c>
      <c r="AR55" s="26">
        <f t="shared" si="16"/>
        <v>0</v>
      </c>
      <c r="AS55">
        <f t="shared" si="11"/>
        <v>0</v>
      </c>
      <c r="AT55" s="549">
        <f t="shared" si="17"/>
      </c>
      <c r="AU55" s="404">
        <f t="shared" si="12"/>
        <v>0</v>
      </c>
      <c r="AV55" s="52">
        <v>41</v>
      </c>
      <c r="AW55" s="27"/>
      <c r="AZ55" s="52"/>
    </row>
    <row r="56" spans="1:52" ht="12.75">
      <c r="A56" s="503">
        <v>42</v>
      </c>
      <c r="B56" s="89">
        <f t="shared" si="13"/>
        <v>0</v>
      </c>
      <c r="C56" s="89"/>
      <c r="D56" s="90">
        <f>IF(B56+F56-D55&lt;=0,B56+F56,IF(AND(Simulador!$U$62=1,$AF$3=2),B56*AJ56,D55))</f>
        <v>0</v>
      </c>
      <c r="E56" s="90"/>
      <c r="F56" s="90">
        <f t="shared" si="3"/>
        <v>0</v>
      </c>
      <c r="G56" s="90"/>
      <c r="H56" s="90">
        <f t="shared" si="14"/>
        <v>0</v>
      </c>
      <c r="I56" s="91"/>
      <c r="J56" s="92"/>
      <c r="K56" s="91"/>
      <c r="L56" s="90">
        <f>IF(Simulador!$T$41=1,0,J56*Simulador!$W$39*1.16)</f>
        <v>0</v>
      </c>
      <c r="M56" s="90"/>
      <c r="N56" s="93">
        <f>IF(B56-H56=0,0,N54)</f>
        <v>0</v>
      </c>
      <c r="O56" s="12"/>
      <c r="P56" s="544">
        <f t="shared" si="15"/>
        <v>0</v>
      </c>
      <c r="Q56" s="4"/>
      <c r="R56" s="90">
        <f t="shared" si="22"/>
        <v>0</v>
      </c>
      <c r="S56" s="90"/>
      <c r="T56" s="90">
        <f>_xlfn.IFERROR(IF(Simulador!$U$30=1,0,IF($B56&lt;=0,0,$B56*Simulador!$AA$43)),0)</f>
        <v>0</v>
      </c>
      <c r="U56" s="90"/>
      <c r="V56" s="90">
        <f>_xlfn.IFERROR(IF(Simulador!$U$30=1,0,IF($B56&lt;=0,0,IF(Simulador!$D$22&gt;0,Simulador!$D$22,Simulador!$O$24)*Simulador!$AA$44)),0)</f>
        <v>0</v>
      </c>
      <c r="W56" s="90"/>
      <c r="X56" s="90"/>
      <c r="Y56" s="90">
        <f t="shared" si="5"/>
        <v>0</v>
      </c>
      <c r="Z56" s="13"/>
      <c r="AA56" s="18"/>
      <c r="AB56" s="23"/>
      <c r="AC56" s="364"/>
      <c r="AD56" s="222">
        <v>3</v>
      </c>
      <c r="AE56" s="219">
        <v>6</v>
      </c>
      <c r="AF56" s="269">
        <f t="shared" si="6"/>
        <v>0</v>
      </c>
      <c r="AG56" s="209">
        <f t="shared" si="7"/>
        <v>0</v>
      </c>
      <c r="AH56" s="209">
        <f t="shared" si="8"/>
        <v>0</v>
      </c>
      <c r="AI56" s="219">
        <f t="shared" si="0"/>
        <v>0</v>
      </c>
      <c r="AJ56" s="425">
        <f t="shared" si="21"/>
        <v>0</v>
      </c>
      <c r="AK56" s="57">
        <f t="shared" si="18"/>
        <v>0</v>
      </c>
      <c r="AL56" s="57">
        <f t="shared" si="23"/>
        <v>0</v>
      </c>
      <c r="AM56" s="58">
        <f t="shared" si="2"/>
        <v>0</v>
      </c>
      <c r="AN56" s="57">
        <f t="shared" si="19"/>
        <v>0</v>
      </c>
      <c r="AO56" s="432">
        <f t="shared" si="20"/>
        <v>0</v>
      </c>
      <c r="AP56" s="90">
        <f>_xlfn.IFERROR(IF(Simulador!$U$30=1,0,IF($AK56&lt;=0,0,$AK56*Simulador!$AA$43)),0)+_xlfn.IFERROR(IF(Simulador!$U$30=1,0,IF($AK56&lt;=0,0,IF(Simulador!$D$22&gt;0,Simulador!$D$22,Simulador!$O$24)*Simulador!$AA$44)),0)</f>
        <v>0</v>
      </c>
      <c r="AQ56" s="90">
        <f t="shared" si="10"/>
        <v>0</v>
      </c>
      <c r="AR56" s="26">
        <f t="shared" si="16"/>
        <v>0</v>
      </c>
      <c r="AS56">
        <f t="shared" si="11"/>
        <v>0</v>
      </c>
      <c r="AT56" s="549">
        <f t="shared" si="17"/>
      </c>
      <c r="AU56" s="404">
        <f t="shared" si="12"/>
        <v>0</v>
      </c>
      <c r="AV56" s="52">
        <v>42</v>
      </c>
      <c r="AW56" s="27"/>
      <c r="AZ56" s="52"/>
    </row>
    <row r="57" spans="1:52" ht="12.75">
      <c r="A57" s="503">
        <v>43</v>
      </c>
      <c r="B57" s="89">
        <f t="shared" si="13"/>
        <v>0</v>
      </c>
      <c r="C57" s="89"/>
      <c r="D57" s="90">
        <f>IF(B57+F57-D56&lt;=0,B57+F57,IF(AND(Simulador!$U$62=1,$AF$3=2),B57*AJ57,D56))</f>
        <v>0</v>
      </c>
      <c r="E57" s="90"/>
      <c r="F57" s="90">
        <f t="shared" si="3"/>
        <v>0</v>
      </c>
      <c r="G57" s="90"/>
      <c r="H57" s="90">
        <f t="shared" si="14"/>
        <v>0</v>
      </c>
      <c r="I57" s="91"/>
      <c r="J57" s="92"/>
      <c r="K57" s="91"/>
      <c r="L57" s="90">
        <f>IF(Simulador!$T$41=1,0,J57*Simulador!$W$39*1.16)</f>
        <v>0</v>
      </c>
      <c r="M57" s="90"/>
      <c r="N57" s="94"/>
      <c r="O57" s="12"/>
      <c r="P57" s="544">
        <f t="shared" si="15"/>
        <v>0</v>
      </c>
      <c r="Q57" s="4"/>
      <c r="R57" s="90">
        <f t="shared" si="22"/>
        <v>0</v>
      </c>
      <c r="S57" s="90"/>
      <c r="T57" s="90">
        <f>_xlfn.IFERROR(IF(Simulador!$U$30=1,0,IF($B57&lt;=0,0,$B57*Simulador!$AA$43)),0)</f>
        <v>0</v>
      </c>
      <c r="U57" s="90"/>
      <c r="V57" s="90">
        <f>_xlfn.IFERROR(IF(Simulador!$U$30=1,0,IF($B57&lt;=0,0,IF(Simulador!$D$22&gt;0,Simulador!$D$22,Simulador!$O$24)*Simulador!$AA$44)),0)</f>
        <v>0</v>
      </c>
      <c r="W57" s="90"/>
      <c r="X57" s="90"/>
      <c r="Y57" s="90">
        <f t="shared" si="5"/>
        <v>0</v>
      </c>
      <c r="Z57" s="13"/>
      <c r="AA57" s="18"/>
      <c r="AB57" s="23"/>
      <c r="AC57" s="364"/>
      <c r="AD57" s="222">
        <v>3</v>
      </c>
      <c r="AE57" s="219">
        <v>7</v>
      </c>
      <c r="AF57" s="269">
        <f t="shared" si="6"/>
        <v>0</v>
      </c>
      <c r="AG57" s="209">
        <f t="shared" si="7"/>
        <v>0</v>
      </c>
      <c r="AH57" s="209">
        <f t="shared" si="8"/>
        <v>0</v>
      </c>
      <c r="AI57" s="219">
        <f t="shared" si="0"/>
        <v>0</v>
      </c>
      <c r="AJ57" s="425">
        <f t="shared" si="21"/>
        <v>0</v>
      </c>
      <c r="AK57" s="57">
        <f t="shared" si="18"/>
        <v>0</v>
      </c>
      <c r="AL57" s="57">
        <f t="shared" si="23"/>
        <v>0</v>
      </c>
      <c r="AM57" s="58">
        <f t="shared" si="2"/>
        <v>0</v>
      </c>
      <c r="AN57" s="57">
        <f t="shared" si="19"/>
        <v>0</v>
      </c>
      <c r="AO57" s="432">
        <f t="shared" si="20"/>
        <v>0</v>
      </c>
      <c r="AP57" s="90">
        <f>_xlfn.IFERROR(IF(Simulador!$U$30=1,0,IF($AK57&lt;=0,0,$AK57*Simulador!$AA$43)),0)+_xlfn.IFERROR(IF(Simulador!$U$30=1,0,IF($AK57&lt;=0,0,IF(Simulador!$D$22&gt;0,Simulador!$D$22,Simulador!$O$24)*Simulador!$AA$44)),0)</f>
        <v>0</v>
      </c>
      <c r="AQ57" s="90">
        <f t="shared" si="10"/>
        <v>0</v>
      </c>
      <c r="AR57" s="26">
        <f t="shared" si="16"/>
        <v>0</v>
      </c>
      <c r="AS57">
        <f t="shared" si="11"/>
        <v>0</v>
      </c>
      <c r="AT57" s="549">
        <f t="shared" si="17"/>
      </c>
      <c r="AU57" s="404">
        <f t="shared" si="12"/>
        <v>0</v>
      </c>
      <c r="AV57" s="52">
        <v>43</v>
      </c>
      <c r="AW57" s="27"/>
      <c r="AZ57" s="52"/>
    </row>
    <row r="58" spans="1:52" ht="12.75">
      <c r="A58" s="503">
        <v>44</v>
      </c>
      <c r="B58" s="89">
        <f t="shared" si="13"/>
        <v>0</v>
      </c>
      <c r="C58" s="89"/>
      <c r="D58" s="90">
        <f>IF(B58+F58-D57&lt;=0,B58+F58,IF(AND(Simulador!$U$62=1,$AF$3=2),B58*AJ58,D57))</f>
        <v>0</v>
      </c>
      <c r="E58" s="90"/>
      <c r="F58" s="90">
        <f t="shared" si="3"/>
        <v>0</v>
      </c>
      <c r="G58" s="90"/>
      <c r="H58" s="90">
        <f t="shared" si="14"/>
        <v>0</v>
      </c>
      <c r="I58" s="91"/>
      <c r="J58" s="92"/>
      <c r="K58" s="91"/>
      <c r="L58" s="90">
        <f>IF(Simulador!$T$41=1,0,J58*Simulador!$W$39*1.16)</f>
        <v>0</v>
      </c>
      <c r="M58" s="90"/>
      <c r="N58" s="93">
        <f>IF(B58-H58=0,0,N56)</f>
        <v>0</v>
      </c>
      <c r="O58" s="12"/>
      <c r="P58" s="544">
        <f t="shared" si="15"/>
        <v>0</v>
      </c>
      <c r="Q58" s="4"/>
      <c r="R58" s="90">
        <f t="shared" si="22"/>
        <v>0</v>
      </c>
      <c r="S58" s="90"/>
      <c r="T58" s="90">
        <f>_xlfn.IFERROR(IF(Simulador!$U$30=1,0,IF($B58&lt;=0,0,$B58*Simulador!$AA$43)),0)</f>
        <v>0</v>
      </c>
      <c r="U58" s="90"/>
      <c r="V58" s="90">
        <f>_xlfn.IFERROR(IF(Simulador!$U$30=1,0,IF($B58&lt;=0,0,IF(Simulador!$D$22&gt;0,Simulador!$D$22,Simulador!$O$24)*Simulador!$AA$44)),0)</f>
        <v>0</v>
      </c>
      <c r="W58" s="90"/>
      <c r="X58" s="90"/>
      <c r="Y58" s="90">
        <f t="shared" si="5"/>
        <v>0</v>
      </c>
      <c r="Z58" s="13"/>
      <c r="AA58" s="18"/>
      <c r="AB58" s="23"/>
      <c r="AC58" s="364"/>
      <c r="AD58" s="222">
        <v>3</v>
      </c>
      <c r="AE58" s="219">
        <v>8</v>
      </c>
      <c r="AF58" s="269">
        <f t="shared" si="6"/>
        <v>0</v>
      </c>
      <c r="AG58" s="209">
        <f t="shared" si="7"/>
        <v>0</v>
      </c>
      <c r="AH58" s="209">
        <f t="shared" si="8"/>
        <v>0</v>
      </c>
      <c r="AI58" s="219">
        <f t="shared" si="0"/>
        <v>0</v>
      </c>
      <c r="AJ58" s="425">
        <f t="shared" si="21"/>
        <v>0</v>
      </c>
      <c r="AK58" s="57">
        <f t="shared" si="18"/>
        <v>0</v>
      </c>
      <c r="AL58" s="57">
        <f t="shared" si="23"/>
        <v>0</v>
      </c>
      <c r="AM58" s="58">
        <f t="shared" si="2"/>
        <v>0</v>
      </c>
      <c r="AN58" s="57">
        <f t="shared" si="19"/>
        <v>0</v>
      </c>
      <c r="AO58" s="432">
        <f t="shared" si="20"/>
        <v>0</v>
      </c>
      <c r="AP58" s="90">
        <f>_xlfn.IFERROR(IF(Simulador!$U$30=1,0,IF($AK58&lt;=0,0,$AK58*Simulador!$AA$43)),0)+_xlfn.IFERROR(IF(Simulador!$U$30=1,0,IF($AK58&lt;=0,0,IF(Simulador!$D$22&gt;0,Simulador!$D$22,Simulador!$O$24)*Simulador!$AA$44)),0)</f>
        <v>0</v>
      </c>
      <c r="AQ58" s="90">
        <f t="shared" si="10"/>
        <v>0</v>
      </c>
      <c r="AR58" s="26">
        <f t="shared" si="16"/>
        <v>0</v>
      </c>
      <c r="AS58">
        <f t="shared" si="11"/>
        <v>0</v>
      </c>
      <c r="AT58" s="549">
        <f t="shared" si="17"/>
      </c>
      <c r="AU58" s="404">
        <f t="shared" si="12"/>
        <v>0</v>
      </c>
      <c r="AV58" s="52">
        <v>44</v>
      </c>
      <c r="AW58" s="27"/>
      <c r="AZ58" s="52"/>
    </row>
    <row r="59" spans="1:52" ht="12.75">
      <c r="A59" s="503">
        <v>45</v>
      </c>
      <c r="B59" s="89">
        <f t="shared" si="13"/>
        <v>0</v>
      </c>
      <c r="C59" s="89"/>
      <c r="D59" s="90">
        <f>IF(B59+F59-D58&lt;=0,B59+F59,IF(AND(Simulador!$U$62=1,$AF$3=2),B59*AJ59,D58))</f>
        <v>0</v>
      </c>
      <c r="E59" s="90"/>
      <c r="F59" s="90">
        <f t="shared" si="3"/>
        <v>0</v>
      </c>
      <c r="G59" s="90"/>
      <c r="H59" s="90">
        <f t="shared" si="14"/>
        <v>0</v>
      </c>
      <c r="I59" s="91"/>
      <c r="J59" s="92"/>
      <c r="K59" s="91"/>
      <c r="L59" s="90">
        <f>IF(Simulador!$T$41=1,0,J59*Simulador!$W$39*1.16)</f>
        <v>0</v>
      </c>
      <c r="M59" s="90"/>
      <c r="N59" s="94"/>
      <c r="O59" s="12"/>
      <c r="P59" s="544">
        <f t="shared" si="15"/>
        <v>0</v>
      </c>
      <c r="Q59" s="4"/>
      <c r="R59" s="90">
        <f t="shared" si="22"/>
        <v>0</v>
      </c>
      <c r="S59" s="90"/>
      <c r="T59" s="90">
        <f>_xlfn.IFERROR(IF(Simulador!$U$30=1,0,IF($B59&lt;=0,0,$B59*Simulador!$AA$43)),0)</f>
        <v>0</v>
      </c>
      <c r="U59" s="90"/>
      <c r="V59" s="90">
        <f>_xlfn.IFERROR(IF(Simulador!$U$30=1,0,IF($B59&lt;=0,0,IF(Simulador!$D$22&gt;0,Simulador!$D$22,Simulador!$O$24)*Simulador!$AA$44)),0)</f>
        <v>0</v>
      </c>
      <c r="W59" s="90"/>
      <c r="X59" s="90"/>
      <c r="Y59" s="90">
        <f t="shared" si="5"/>
        <v>0</v>
      </c>
      <c r="Z59" s="13"/>
      <c r="AA59" s="18"/>
      <c r="AB59" s="23"/>
      <c r="AC59" s="364"/>
      <c r="AD59" s="222">
        <v>3</v>
      </c>
      <c r="AE59" s="221">
        <v>9</v>
      </c>
      <c r="AF59" s="269">
        <f t="shared" si="6"/>
        <v>0</v>
      </c>
      <c r="AG59" s="209">
        <f t="shared" si="7"/>
        <v>0</v>
      </c>
      <c r="AH59" s="209">
        <f t="shared" si="8"/>
        <v>0</v>
      </c>
      <c r="AI59" s="219">
        <f t="shared" si="0"/>
        <v>0</v>
      </c>
      <c r="AJ59" s="425">
        <f t="shared" si="21"/>
        <v>0</v>
      </c>
      <c r="AK59" s="57">
        <f t="shared" si="18"/>
        <v>0</v>
      </c>
      <c r="AL59" s="57">
        <f t="shared" si="23"/>
        <v>0</v>
      </c>
      <c r="AM59" s="58">
        <f t="shared" si="2"/>
        <v>0</v>
      </c>
      <c r="AN59" s="57">
        <f t="shared" si="19"/>
        <v>0</v>
      </c>
      <c r="AO59" s="432">
        <f t="shared" si="20"/>
        <v>0</v>
      </c>
      <c r="AP59" s="90">
        <f>_xlfn.IFERROR(IF(Simulador!$U$30=1,0,IF($AK59&lt;=0,0,$AK59*Simulador!$AA$43)),0)+_xlfn.IFERROR(IF(Simulador!$U$30=1,0,IF($AK59&lt;=0,0,IF(Simulador!$D$22&gt;0,Simulador!$D$22,Simulador!$O$24)*Simulador!$AA$44)),0)</f>
        <v>0</v>
      </c>
      <c r="AQ59" s="90">
        <f t="shared" si="10"/>
        <v>0</v>
      </c>
      <c r="AR59" s="26">
        <f t="shared" si="16"/>
        <v>0</v>
      </c>
      <c r="AS59">
        <f t="shared" si="11"/>
        <v>0</v>
      </c>
      <c r="AT59" s="549">
        <f t="shared" si="17"/>
      </c>
      <c r="AU59" s="404">
        <f t="shared" si="12"/>
        <v>0</v>
      </c>
      <c r="AV59" s="52">
        <v>45</v>
      </c>
      <c r="AW59" s="27"/>
      <c r="AZ59" s="52"/>
    </row>
    <row r="60" spans="1:52" ht="12.75">
      <c r="A60" s="503">
        <v>46</v>
      </c>
      <c r="B60" s="89">
        <f t="shared" si="13"/>
        <v>0</v>
      </c>
      <c r="C60" s="89"/>
      <c r="D60" s="90">
        <f>IF(B60+F60-D59&lt;=0,B60+F60,IF(AND(Simulador!$U$62=1,$AF$3=2),B60*AJ60,D59))</f>
        <v>0</v>
      </c>
      <c r="E60" s="90"/>
      <c r="F60" s="90">
        <f t="shared" si="3"/>
        <v>0</v>
      </c>
      <c r="G60" s="90"/>
      <c r="H60" s="90">
        <f t="shared" si="14"/>
        <v>0</v>
      </c>
      <c r="I60" s="91"/>
      <c r="J60" s="92"/>
      <c r="K60" s="91"/>
      <c r="L60" s="90">
        <f>IF(Simulador!$T$41=1,0,J60*Simulador!$W$39*1.16)</f>
        <v>0</v>
      </c>
      <c r="M60" s="90"/>
      <c r="N60" s="93">
        <f>IF(B60-H60=0,0,N58)</f>
        <v>0</v>
      </c>
      <c r="O60" s="12"/>
      <c r="P60" s="544">
        <f t="shared" si="15"/>
        <v>0</v>
      </c>
      <c r="Q60" s="4"/>
      <c r="R60" s="90">
        <f t="shared" si="22"/>
        <v>0</v>
      </c>
      <c r="S60" s="90"/>
      <c r="T60" s="90">
        <f>_xlfn.IFERROR(IF(Simulador!$U$30=1,0,IF($B60&lt;=0,0,$B60*Simulador!$AA$43)),0)</f>
        <v>0</v>
      </c>
      <c r="U60" s="90"/>
      <c r="V60" s="90">
        <f>_xlfn.IFERROR(IF(Simulador!$U$30=1,0,IF($B60&lt;=0,0,IF(Simulador!$D$22&gt;0,Simulador!$D$22,Simulador!$O$24)*Simulador!$AA$44)),0)</f>
        <v>0</v>
      </c>
      <c r="W60" s="90"/>
      <c r="X60" s="90"/>
      <c r="Y60" s="90">
        <f t="shared" si="5"/>
        <v>0</v>
      </c>
      <c r="Z60" s="13"/>
      <c r="AA60" s="18"/>
      <c r="AB60" s="23"/>
      <c r="AC60" s="364"/>
      <c r="AD60" s="222">
        <v>3</v>
      </c>
      <c r="AE60" s="221">
        <v>10</v>
      </c>
      <c r="AF60" s="269">
        <f t="shared" si="6"/>
        <v>0</v>
      </c>
      <c r="AG60" s="209">
        <f t="shared" si="7"/>
        <v>0</v>
      </c>
      <c r="AH60" s="209">
        <f t="shared" si="8"/>
        <v>0</v>
      </c>
      <c r="AI60" s="219">
        <f t="shared" si="0"/>
        <v>0</v>
      </c>
      <c r="AJ60" s="425">
        <f t="shared" si="21"/>
        <v>0</v>
      </c>
      <c r="AK60" s="57">
        <f t="shared" si="18"/>
        <v>0</v>
      </c>
      <c r="AL60" s="57">
        <f t="shared" si="23"/>
        <v>0</v>
      </c>
      <c r="AM60" s="58">
        <f t="shared" si="2"/>
        <v>0</v>
      </c>
      <c r="AN60" s="57">
        <f t="shared" si="19"/>
        <v>0</v>
      </c>
      <c r="AO60" s="432">
        <f t="shared" si="20"/>
        <v>0</v>
      </c>
      <c r="AP60" s="90">
        <f>_xlfn.IFERROR(IF(Simulador!$U$30=1,0,IF($AK60&lt;=0,0,$AK60*Simulador!$AA$43)),0)+_xlfn.IFERROR(IF(Simulador!$U$30=1,0,IF($AK60&lt;=0,0,IF(Simulador!$D$22&gt;0,Simulador!$D$22,Simulador!$O$24)*Simulador!$AA$44)),0)</f>
        <v>0</v>
      </c>
      <c r="AQ60" s="90">
        <f t="shared" si="10"/>
        <v>0</v>
      </c>
      <c r="AR60" s="26">
        <f t="shared" si="16"/>
        <v>0</v>
      </c>
      <c r="AS60">
        <f t="shared" si="11"/>
        <v>0</v>
      </c>
      <c r="AT60" s="549">
        <f t="shared" si="17"/>
      </c>
      <c r="AU60" s="404">
        <f t="shared" si="12"/>
        <v>0</v>
      </c>
      <c r="AV60" s="52">
        <v>46</v>
      </c>
      <c r="AW60" s="27"/>
      <c r="AZ60" s="52"/>
    </row>
    <row r="61" spans="1:52" ht="12.75">
      <c r="A61" s="503">
        <v>47</v>
      </c>
      <c r="B61" s="89">
        <f t="shared" si="13"/>
        <v>0</v>
      </c>
      <c r="C61" s="89"/>
      <c r="D61" s="90">
        <f>IF(B61+F61-D60&lt;=0,B61+F61,IF(AND(Simulador!$U$62=1,$AF$3=2),B61*AJ61,D60))</f>
        <v>0</v>
      </c>
      <c r="E61" s="90"/>
      <c r="F61" s="90">
        <f t="shared" si="3"/>
        <v>0</v>
      </c>
      <c r="G61" s="90"/>
      <c r="H61" s="90">
        <f t="shared" si="14"/>
        <v>0</v>
      </c>
      <c r="I61" s="91"/>
      <c r="J61" s="92"/>
      <c r="K61" s="91"/>
      <c r="L61" s="90">
        <f>IF(Simulador!$T$41=1,0,J61*Simulador!$W$39*1.16)</f>
        <v>0</v>
      </c>
      <c r="M61" s="90"/>
      <c r="N61" s="94"/>
      <c r="O61" s="12"/>
      <c r="P61" s="544">
        <f t="shared" si="15"/>
        <v>0</v>
      </c>
      <c r="Q61" s="4"/>
      <c r="R61" s="90">
        <f t="shared" si="22"/>
        <v>0</v>
      </c>
      <c r="S61" s="90"/>
      <c r="T61" s="90">
        <f>_xlfn.IFERROR(IF(Simulador!$U$30=1,0,IF($B61&lt;=0,0,$B61*Simulador!$AA$43)),0)</f>
        <v>0</v>
      </c>
      <c r="U61" s="90"/>
      <c r="V61" s="90">
        <f>_xlfn.IFERROR(IF(Simulador!$U$30=1,0,IF($B61&lt;=0,0,IF(Simulador!$D$22&gt;0,Simulador!$D$22,Simulador!$O$24)*Simulador!$AA$44)),0)</f>
        <v>0</v>
      </c>
      <c r="W61" s="90"/>
      <c r="X61" s="90"/>
      <c r="Y61" s="90">
        <f t="shared" si="5"/>
        <v>0</v>
      </c>
      <c r="Z61" s="13"/>
      <c r="AA61" s="18"/>
      <c r="AB61" s="23"/>
      <c r="AC61" s="364"/>
      <c r="AD61" s="222">
        <v>3</v>
      </c>
      <c r="AE61" s="219">
        <v>11</v>
      </c>
      <c r="AF61" s="269">
        <f t="shared" si="6"/>
        <v>0</v>
      </c>
      <c r="AG61" s="209">
        <f t="shared" si="7"/>
        <v>0</v>
      </c>
      <c r="AH61" s="209">
        <f t="shared" si="8"/>
        <v>0</v>
      </c>
      <c r="AI61" s="219">
        <f t="shared" si="0"/>
        <v>0</v>
      </c>
      <c r="AJ61" s="425">
        <f t="shared" si="21"/>
        <v>0</v>
      </c>
      <c r="AK61" s="57">
        <f t="shared" si="18"/>
        <v>0</v>
      </c>
      <c r="AL61" s="57">
        <f t="shared" si="23"/>
        <v>0</v>
      </c>
      <c r="AM61" s="58">
        <f t="shared" si="2"/>
        <v>0</v>
      </c>
      <c r="AN61" s="57">
        <f t="shared" si="19"/>
        <v>0</v>
      </c>
      <c r="AO61" s="432">
        <f t="shared" si="20"/>
        <v>0</v>
      </c>
      <c r="AP61" s="90">
        <f>_xlfn.IFERROR(IF(Simulador!$U$30=1,0,IF($AK61&lt;=0,0,$AK61*Simulador!$AA$43)),0)+_xlfn.IFERROR(IF(Simulador!$U$30=1,0,IF($AK61&lt;=0,0,IF(Simulador!$D$22&gt;0,Simulador!$D$22,Simulador!$O$24)*Simulador!$AA$44)),0)</f>
        <v>0</v>
      </c>
      <c r="AQ61" s="90">
        <f t="shared" si="10"/>
        <v>0</v>
      </c>
      <c r="AR61" s="26">
        <f t="shared" si="16"/>
        <v>0</v>
      </c>
      <c r="AS61">
        <f t="shared" si="11"/>
        <v>0</v>
      </c>
      <c r="AT61" s="549">
        <f t="shared" si="17"/>
      </c>
      <c r="AU61" s="404">
        <f t="shared" si="12"/>
        <v>0</v>
      </c>
      <c r="AV61" s="52">
        <v>47</v>
      </c>
      <c r="AW61" s="27"/>
      <c r="AZ61" s="52"/>
    </row>
    <row r="62" spans="1:52" ht="12.75">
      <c r="A62" s="503">
        <v>48</v>
      </c>
      <c r="B62" s="89">
        <f t="shared" si="13"/>
        <v>0</v>
      </c>
      <c r="C62" s="89"/>
      <c r="D62" s="90">
        <f>IF(B62+F62-D61&lt;=0,B62+F62,IF(AND(Simulador!$U$62=1,$AF$3=2),B62*AJ62,D61))</f>
        <v>0</v>
      </c>
      <c r="E62" s="90"/>
      <c r="F62" s="90">
        <f t="shared" si="3"/>
        <v>0</v>
      </c>
      <c r="G62" s="90"/>
      <c r="H62" s="90">
        <f t="shared" si="14"/>
        <v>0</v>
      </c>
      <c r="I62" s="91"/>
      <c r="J62" s="92"/>
      <c r="K62" s="91"/>
      <c r="L62" s="90">
        <f>IF(Simulador!$T$41=1,0,J62*Simulador!$W$39*1.16)</f>
        <v>0</v>
      </c>
      <c r="M62" s="90"/>
      <c r="N62" s="93">
        <f>IF(B62-H62=0,0,N60)</f>
        <v>0</v>
      </c>
      <c r="O62" s="12"/>
      <c r="P62" s="544">
        <f t="shared" si="15"/>
        <v>0</v>
      </c>
      <c r="Q62" s="4"/>
      <c r="R62" s="90">
        <f t="shared" si="22"/>
        <v>0</v>
      </c>
      <c r="S62" s="90"/>
      <c r="T62" s="90">
        <f>_xlfn.IFERROR(IF(Simulador!$U$30=1,0,IF($B62&lt;=0,0,$B62*Simulador!$AA$43)),0)</f>
        <v>0</v>
      </c>
      <c r="U62" s="90"/>
      <c r="V62" s="90">
        <f>_xlfn.IFERROR(IF(Simulador!$U$30=1,0,IF($B62&lt;=0,0,IF(Simulador!$D$22&gt;0,Simulador!$D$22,Simulador!$O$24)*Simulador!$AA$44)),0)</f>
        <v>0</v>
      </c>
      <c r="W62" s="90"/>
      <c r="X62" s="90"/>
      <c r="Y62" s="90">
        <f t="shared" si="5"/>
        <v>0</v>
      </c>
      <c r="Z62" s="13"/>
      <c r="AA62" s="18"/>
      <c r="AB62" s="23"/>
      <c r="AC62" s="364"/>
      <c r="AD62" s="222">
        <v>4</v>
      </c>
      <c r="AE62" s="219">
        <v>0</v>
      </c>
      <c r="AF62" s="269">
        <f t="shared" si="6"/>
        <v>0</v>
      </c>
      <c r="AG62" s="209">
        <f t="shared" si="7"/>
        <v>0</v>
      </c>
      <c r="AH62" s="209">
        <f t="shared" si="8"/>
        <v>0</v>
      </c>
      <c r="AI62" s="219">
        <f t="shared" si="0"/>
        <v>0</v>
      </c>
      <c r="AJ62" s="425">
        <f t="shared" si="21"/>
        <v>0</v>
      </c>
      <c r="AK62" s="57">
        <f t="shared" si="18"/>
        <v>0</v>
      </c>
      <c r="AL62" s="57">
        <f t="shared" si="23"/>
        <v>0</v>
      </c>
      <c r="AM62" s="58">
        <f t="shared" si="2"/>
        <v>0</v>
      </c>
      <c r="AN62" s="57">
        <f t="shared" si="19"/>
        <v>0</v>
      </c>
      <c r="AO62" s="432">
        <f t="shared" si="20"/>
        <v>0</v>
      </c>
      <c r="AP62" s="90">
        <f>_xlfn.IFERROR(IF(Simulador!$U$30=1,0,IF($AK62&lt;=0,0,$AK62*Simulador!$AA$43)),0)+_xlfn.IFERROR(IF(Simulador!$U$30=1,0,IF($AK62&lt;=0,0,IF(Simulador!$D$22&gt;0,Simulador!$D$22,Simulador!$O$24)*Simulador!$AA$44)),0)</f>
        <v>0</v>
      </c>
      <c r="AQ62" s="90">
        <f t="shared" si="10"/>
        <v>0</v>
      </c>
      <c r="AR62" s="26">
        <f t="shared" si="16"/>
        <v>0</v>
      </c>
      <c r="AS62">
        <f t="shared" si="11"/>
        <v>0</v>
      </c>
      <c r="AT62" s="549">
        <f t="shared" si="17"/>
      </c>
      <c r="AU62" s="404">
        <f t="shared" si="12"/>
        <v>0</v>
      </c>
      <c r="AV62" s="52">
        <v>48</v>
      </c>
      <c r="AW62" s="27"/>
      <c r="AZ62" s="52"/>
    </row>
    <row r="63" spans="1:52" ht="12.75">
      <c r="A63" s="503">
        <v>49</v>
      </c>
      <c r="B63" s="89">
        <f t="shared" si="13"/>
        <v>0</v>
      </c>
      <c r="C63" s="89"/>
      <c r="D63" s="90">
        <f>IF(B63+F63-D62&lt;=0,B63+F63,IF(AND(Simulador!$U$62=1,$AF$3=2),B63*AJ63,D62))</f>
        <v>0</v>
      </c>
      <c r="E63" s="90"/>
      <c r="F63" s="90">
        <f t="shared" si="3"/>
        <v>0</v>
      </c>
      <c r="G63" s="90"/>
      <c r="H63" s="90">
        <f t="shared" si="14"/>
        <v>0</v>
      </c>
      <c r="I63" s="91"/>
      <c r="J63" s="92"/>
      <c r="K63" s="91"/>
      <c r="L63" s="90">
        <f>IF(Simulador!$T$41=1,0,J63*Simulador!$W$39*1.16)</f>
        <v>0</v>
      </c>
      <c r="M63" s="90"/>
      <c r="N63" s="94"/>
      <c r="O63" s="12"/>
      <c r="P63" s="544">
        <f t="shared" si="15"/>
        <v>0</v>
      </c>
      <c r="Q63" s="4"/>
      <c r="R63" s="90">
        <f t="shared" si="22"/>
        <v>0</v>
      </c>
      <c r="S63" s="90"/>
      <c r="T63" s="90">
        <f>_xlfn.IFERROR(IF(Simulador!$U$30=1,0,IF($B63&lt;=0,0,$B63*Simulador!$AA$43)),0)</f>
        <v>0</v>
      </c>
      <c r="U63" s="90"/>
      <c r="V63" s="90">
        <f>_xlfn.IFERROR(IF(Simulador!$U$30=1,0,IF($B63&lt;=0,0,IF(Simulador!$D$22&gt;0,Simulador!$D$22,Simulador!$O$24)*Simulador!$AA$44)),0)</f>
        <v>0</v>
      </c>
      <c r="W63" s="90"/>
      <c r="X63" s="90"/>
      <c r="Y63" s="90">
        <f t="shared" si="5"/>
        <v>0</v>
      </c>
      <c r="Z63" s="13"/>
      <c r="AA63" s="18">
        <f>IF(B63&lt;=0,0,Simulador!$I$45)</f>
        <v>0</v>
      </c>
      <c r="AB63" s="23"/>
      <c r="AC63" s="364"/>
      <c r="AD63" s="222">
        <v>4</v>
      </c>
      <c r="AE63" s="219">
        <v>1</v>
      </c>
      <c r="AF63" s="269">
        <f t="shared" si="6"/>
        <v>0</v>
      </c>
      <c r="AG63" s="209">
        <f t="shared" si="7"/>
        <v>0</v>
      </c>
      <c r="AH63" s="209">
        <f t="shared" si="8"/>
        <v>0</v>
      </c>
      <c r="AI63" s="219">
        <f t="shared" si="0"/>
        <v>0</v>
      </c>
      <c r="AJ63" s="425">
        <f t="shared" si="21"/>
        <v>0</v>
      </c>
      <c r="AK63" s="57">
        <f t="shared" si="18"/>
        <v>0</v>
      </c>
      <c r="AL63" s="57">
        <f t="shared" si="23"/>
        <v>0</v>
      </c>
      <c r="AM63" s="58">
        <f t="shared" si="2"/>
        <v>0</v>
      </c>
      <c r="AN63" s="57">
        <f t="shared" si="19"/>
        <v>0</v>
      </c>
      <c r="AO63" s="432">
        <f t="shared" si="20"/>
        <v>0</v>
      </c>
      <c r="AP63" s="90">
        <f>_xlfn.IFERROR(IF(Simulador!$U$30=1,0,IF($AK63&lt;=0,0,$AK63*Simulador!$AA$43)),0)+_xlfn.IFERROR(IF(Simulador!$U$30=1,0,IF($AK63&lt;=0,0,IF(Simulador!$D$22&gt;0,Simulador!$D$22,Simulador!$O$24)*Simulador!$AA$44)),0)</f>
        <v>0</v>
      </c>
      <c r="AQ63" s="90">
        <f t="shared" si="10"/>
        <v>0</v>
      </c>
      <c r="AR63" s="26">
        <f t="shared" si="16"/>
        <v>0</v>
      </c>
      <c r="AS63">
        <f t="shared" si="11"/>
        <v>0</v>
      </c>
      <c r="AT63" s="549">
        <f t="shared" si="17"/>
      </c>
      <c r="AU63" s="404">
        <f t="shared" si="12"/>
        <v>0</v>
      </c>
      <c r="AV63" s="52">
        <v>49</v>
      </c>
      <c r="AW63" s="27"/>
      <c r="AZ63" s="52"/>
    </row>
    <row r="64" spans="1:52" ht="12.75">
      <c r="A64" s="503">
        <v>50</v>
      </c>
      <c r="B64" s="89">
        <f t="shared" si="13"/>
        <v>0</v>
      </c>
      <c r="C64" s="89"/>
      <c r="D64" s="90">
        <f>IF(B64+F64-D63&lt;=0,B64+F64,IF(AND(Simulador!$U$62=1,$AF$3=2),B64*AJ64,D63))</f>
        <v>0</v>
      </c>
      <c r="E64" s="90"/>
      <c r="F64" s="90">
        <f t="shared" si="3"/>
        <v>0</v>
      </c>
      <c r="G64" s="90"/>
      <c r="H64" s="90">
        <f t="shared" si="14"/>
        <v>0</v>
      </c>
      <c r="I64" s="91"/>
      <c r="J64" s="92"/>
      <c r="K64" s="91"/>
      <c r="L64" s="90">
        <f>IF(Simulador!$T$41=1,0,J64*Simulador!$W$39*1.16)</f>
        <v>0</v>
      </c>
      <c r="M64" s="90"/>
      <c r="N64" s="93">
        <f>IF(B64-H64=0,0,N62*(1+(Simulador!$AH$72)))</f>
        <v>0</v>
      </c>
      <c r="O64" s="12"/>
      <c r="P64" s="544">
        <f t="shared" si="15"/>
        <v>0</v>
      </c>
      <c r="Q64" s="4"/>
      <c r="R64" s="90">
        <f t="shared" si="22"/>
        <v>0</v>
      </c>
      <c r="S64" s="90"/>
      <c r="T64" s="90">
        <f>_xlfn.IFERROR(IF(Simulador!$U$30=1,0,IF($B64&lt;=0,0,$B64*Simulador!$AA$43)),0)</f>
        <v>0</v>
      </c>
      <c r="U64" s="90"/>
      <c r="V64" s="90">
        <f>_xlfn.IFERROR(IF(Simulador!$U$30=1,0,IF($B64&lt;=0,0,IF(Simulador!$D$22&gt;0,Simulador!$D$22,Simulador!$O$24)*Simulador!$AA$44)),0)</f>
        <v>0</v>
      </c>
      <c r="W64" s="90"/>
      <c r="X64" s="90"/>
      <c r="Y64" s="90">
        <f t="shared" si="5"/>
        <v>0</v>
      </c>
      <c r="Z64" s="13"/>
      <c r="AA64" s="18"/>
      <c r="AB64" s="23"/>
      <c r="AC64" s="364"/>
      <c r="AD64" s="222">
        <v>4</v>
      </c>
      <c r="AE64" s="220">
        <v>2</v>
      </c>
      <c r="AF64" s="269">
        <f t="shared" si="6"/>
        <v>0</v>
      </c>
      <c r="AG64" s="209">
        <f t="shared" si="7"/>
        <v>0</v>
      </c>
      <c r="AH64" s="209">
        <f t="shared" si="8"/>
        <v>0</v>
      </c>
      <c r="AI64" s="219">
        <f t="shared" si="0"/>
        <v>0</v>
      </c>
      <c r="AJ64" s="425">
        <f t="shared" si="21"/>
        <v>0</v>
      </c>
      <c r="AK64" s="57">
        <f t="shared" si="18"/>
        <v>0</v>
      </c>
      <c r="AL64" s="57">
        <f t="shared" si="23"/>
        <v>0</v>
      </c>
      <c r="AM64" s="58">
        <f t="shared" si="2"/>
        <v>0</v>
      </c>
      <c r="AN64" s="57">
        <f t="shared" si="19"/>
        <v>0</v>
      </c>
      <c r="AO64" s="432">
        <f t="shared" si="20"/>
        <v>0</v>
      </c>
      <c r="AP64" s="90">
        <f>_xlfn.IFERROR(IF(Simulador!$U$30=1,0,IF($AK64&lt;=0,0,$AK64*Simulador!$AA$43)),0)+_xlfn.IFERROR(IF(Simulador!$U$30=1,0,IF($AK64&lt;=0,0,IF(Simulador!$D$22&gt;0,Simulador!$D$22,Simulador!$O$24)*Simulador!$AA$44)),0)</f>
        <v>0</v>
      </c>
      <c r="AQ64" s="90">
        <f t="shared" si="10"/>
        <v>0</v>
      </c>
      <c r="AR64" s="26">
        <f t="shared" si="16"/>
        <v>0</v>
      </c>
      <c r="AS64">
        <f t="shared" si="11"/>
        <v>0</v>
      </c>
      <c r="AT64" s="549">
        <f t="shared" si="17"/>
      </c>
      <c r="AU64" s="404">
        <f t="shared" si="12"/>
        <v>0</v>
      </c>
      <c r="AV64" s="52">
        <v>50</v>
      </c>
      <c r="AW64" s="27"/>
      <c r="AZ64" s="52"/>
    </row>
    <row r="65" spans="1:52" ht="12.75">
      <c r="A65" s="503">
        <v>51</v>
      </c>
      <c r="B65" s="89">
        <f t="shared" si="13"/>
        <v>0</v>
      </c>
      <c r="C65" s="89"/>
      <c r="D65" s="90">
        <f>IF(B65+F65-D64&lt;=0,B65+F65,IF(AND(Simulador!$U$62=1,$AF$3=2),B65*AJ65,D64))</f>
        <v>0</v>
      </c>
      <c r="E65" s="90"/>
      <c r="F65" s="90">
        <f t="shared" si="3"/>
        <v>0</v>
      </c>
      <c r="G65" s="90"/>
      <c r="H65" s="90">
        <f t="shared" si="14"/>
        <v>0</v>
      </c>
      <c r="I65" s="91"/>
      <c r="J65" s="92"/>
      <c r="K65" s="91"/>
      <c r="L65" s="90">
        <f>IF(Simulador!$T$41=1,0,J65*Simulador!$W$39*1.16)</f>
        <v>0</v>
      </c>
      <c r="M65" s="90"/>
      <c r="N65" s="94"/>
      <c r="O65" s="12"/>
      <c r="P65" s="544">
        <f t="shared" si="15"/>
        <v>0</v>
      </c>
      <c r="Q65" s="4"/>
      <c r="R65" s="90">
        <f t="shared" si="22"/>
        <v>0</v>
      </c>
      <c r="S65" s="90"/>
      <c r="T65" s="90">
        <f>_xlfn.IFERROR(IF(Simulador!$U$30=1,0,IF($B65&lt;=0,0,$B65*Simulador!$AA$43)),0)</f>
        <v>0</v>
      </c>
      <c r="U65" s="90"/>
      <c r="V65" s="90">
        <f>_xlfn.IFERROR(IF(Simulador!$U$30=1,0,IF($B65&lt;=0,0,IF(Simulador!$D$22&gt;0,Simulador!$D$22,Simulador!$O$24)*Simulador!$AA$44)),0)</f>
        <v>0</v>
      </c>
      <c r="W65" s="90"/>
      <c r="X65" s="90"/>
      <c r="Y65" s="90">
        <f t="shared" si="5"/>
        <v>0</v>
      </c>
      <c r="Z65" s="13"/>
      <c r="AA65" s="18"/>
      <c r="AB65" s="23"/>
      <c r="AC65" s="364"/>
      <c r="AD65" s="222">
        <v>4</v>
      </c>
      <c r="AE65" s="220">
        <v>3</v>
      </c>
      <c r="AF65" s="269">
        <f t="shared" si="6"/>
        <v>0</v>
      </c>
      <c r="AG65" s="209">
        <f t="shared" si="7"/>
        <v>0</v>
      </c>
      <c r="AH65" s="209">
        <f t="shared" si="8"/>
        <v>0</v>
      </c>
      <c r="AI65" s="219">
        <f t="shared" si="0"/>
        <v>0</v>
      </c>
      <c r="AJ65" s="425">
        <f t="shared" si="21"/>
        <v>0</v>
      </c>
      <c r="AK65" s="57">
        <f t="shared" si="18"/>
        <v>0</v>
      </c>
      <c r="AL65" s="57">
        <f t="shared" si="23"/>
        <v>0</v>
      </c>
      <c r="AM65" s="58">
        <f t="shared" si="2"/>
        <v>0</v>
      </c>
      <c r="AN65" s="57">
        <f t="shared" si="19"/>
        <v>0</v>
      </c>
      <c r="AO65" s="432">
        <f t="shared" si="20"/>
        <v>0</v>
      </c>
      <c r="AP65" s="90">
        <f>_xlfn.IFERROR(IF(Simulador!$U$30=1,0,IF($AK65&lt;=0,0,$AK65*Simulador!$AA$43)),0)+_xlfn.IFERROR(IF(Simulador!$U$30=1,0,IF($AK65&lt;=0,0,IF(Simulador!$D$22&gt;0,Simulador!$D$22,Simulador!$O$24)*Simulador!$AA$44)),0)</f>
        <v>0</v>
      </c>
      <c r="AQ65" s="90">
        <f t="shared" si="10"/>
        <v>0</v>
      </c>
      <c r="AR65" s="26">
        <f t="shared" si="16"/>
        <v>0</v>
      </c>
      <c r="AS65">
        <f t="shared" si="11"/>
        <v>0</v>
      </c>
      <c r="AT65" s="549">
        <f t="shared" si="17"/>
      </c>
      <c r="AU65" s="404">
        <f t="shared" si="12"/>
        <v>0</v>
      </c>
      <c r="AV65" s="52">
        <v>51</v>
      </c>
      <c r="AW65" s="27"/>
      <c r="AZ65" s="52"/>
    </row>
    <row r="66" spans="1:52" ht="12.75">
      <c r="A66" s="503">
        <v>52</v>
      </c>
      <c r="B66" s="89">
        <f t="shared" si="13"/>
        <v>0</v>
      </c>
      <c r="C66" s="89"/>
      <c r="D66" s="90">
        <f>IF(B66+F66-D65&lt;=0,B66+F66,IF(AND(Simulador!$U$62=1,$AF$3=2),B66*AJ66,D65))</f>
        <v>0</v>
      </c>
      <c r="E66" s="90"/>
      <c r="F66" s="90">
        <f t="shared" si="3"/>
        <v>0</v>
      </c>
      <c r="G66" s="90"/>
      <c r="H66" s="90">
        <f t="shared" si="14"/>
        <v>0</v>
      </c>
      <c r="I66" s="91"/>
      <c r="J66" s="92"/>
      <c r="K66" s="91"/>
      <c r="L66" s="90">
        <f>IF(Simulador!$T$41=1,0,J66*Simulador!$W$39*1.16)</f>
        <v>0</v>
      </c>
      <c r="M66" s="90"/>
      <c r="N66" s="93">
        <f>IF(B66-H66=0,0,N64)</f>
        <v>0</v>
      </c>
      <c r="O66" s="12"/>
      <c r="P66" s="544">
        <f t="shared" si="15"/>
        <v>0</v>
      </c>
      <c r="Q66" s="4"/>
      <c r="R66" s="90">
        <f t="shared" si="22"/>
        <v>0</v>
      </c>
      <c r="S66" s="90"/>
      <c r="T66" s="90">
        <f>_xlfn.IFERROR(IF(Simulador!$U$30=1,0,IF($B66&lt;=0,0,$B66*Simulador!$AA$43)),0)</f>
        <v>0</v>
      </c>
      <c r="U66" s="90"/>
      <c r="V66" s="90">
        <f>_xlfn.IFERROR(IF(Simulador!$U$30=1,0,IF($B66&lt;=0,0,IF(Simulador!$D$22&gt;0,Simulador!$D$22,Simulador!$O$24)*Simulador!$AA$44)),0)</f>
        <v>0</v>
      </c>
      <c r="W66" s="90"/>
      <c r="X66" s="90"/>
      <c r="Y66" s="90">
        <f t="shared" si="5"/>
        <v>0</v>
      </c>
      <c r="Z66" s="13"/>
      <c r="AA66" s="18"/>
      <c r="AB66" s="23"/>
      <c r="AC66" s="364"/>
      <c r="AD66" s="222">
        <v>4</v>
      </c>
      <c r="AE66" s="219">
        <v>4</v>
      </c>
      <c r="AF66" s="269">
        <f t="shared" si="6"/>
        <v>0</v>
      </c>
      <c r="AG66" s="209">
        <f t="shared" si="7"/>
        <v>0</v>
      </c>
      <c r="AH66" s="209">
        <f t="shared" si="8"/>
        <v>0</v>
      </c>
      <c r="AI66" s="219">
        <f t="shared" si="0"/>
        <v>0</v>
      </c>
      <c r="AJ66" s="425">
        <f t="shared" si="21"/>
        <v>0</v>
      </c>
      <c r="AK66" s="57">
        <f t="shared" si="18"/>
        <v>0</v>
      </c>
      <c r="AL66" s="57">
        <f t="shared" si="23"/>
        <v>0</v>
      </c>
      <c r="AM66" s="58">
        <f t="shared" si="2"/>
        <v>0</v>
      </c>
      <c r="AN66" s="57">
        <f t="shared" si="19"/>
        <v>0</v>
      </c>
      <c r="AO66" s="432">
        <f t="shared" si="20"/>
        <v>0</v>
      </c>
      <c r="AP66" s="90">
        <f>_xlfn.IFERROR(IF(Simulador!$U$30=1,0,IF($AK66&lt;=0,0,$AK66*Simulador!$AA$43)),0)+_xlfn.IFERROR(IF(Simulador!$U$30=1,0,IF($AK66&lt;=0,0,IF(Simulador!$D$22&gt;0,Simulador!$D$22,Simulador!$O$24)*Simulador!$AA$44)),0)</f>
        <v>0</v>
      </c>
      <c r="AQ66" s="90">
        <f t="shared" si="10"/>
        <v>0</v>
      </c>
      <c r="AR66" s="26">
        <f t="shared" si="16"/>
        <v>0</v>
      </c>
      <c r="AS66">
        <f t="shared" si="11"/>
        <v>0</v>
      </c>
      <c r="AT66" s="549">
        <f t="shared" si="17"/>
      </c>
      <c r="AU66" s="404">
        <f t="shared" si="12"/>
        <v>0</v>
      </c>
      <c r="AV66" s="52">
        <v>52</v>
      </c>
      <c r="AW66" s="27"/>
      <c r="AZ66" s="52"/>
    </row>
    <row r="67" spans="1:52" ht="12.75">
      <c r="A67" s="503">
        <v>53</v>
      </c>
      <c r="B67" s="89">
        <f t="shared" si="13"/>
        <v>0</v>
      </c>
      <c r="C67" s="89"/>
      <c r="D67" s="90">
        <f>IF(B67+F67-D66&lt;=0,B67+F67,IF(AND(Simulador!$U$62=1,$AF$3=2),B67*AJ67,D66))</f>
        <v>0</v>
      </c>
      <c r="E67" s="90"/>
      <c r="F67" s="90">
        <f t="shared" si="3"/>
        <v>0</v>
      </c>
      <c r="G67" s="90"/>
      <c r="H67" s="90">
        <f t="shared" si="14"/>
        <v>0</v>
      </c>
      <c r="I67" s="91"/>
      <c r="J67" s="92"/>
      <c r="K67" s="91"/>
      <c r="L67" s="90">
        <f>IF(Simulador!$T$41=1,0,J67*Simulador!$W$39*1.16)</f>
        <v>0</v>
      </c>
      <c r="M67" s="90"/>
      <c r="N67" s="94"/>
      <c r="O67" s="12"/>
      <c r="P67" s="544">
        <f t="shared" si="15"/>
        <v>0</v>
      </c>
      <c r="Q67" s="4"/>
      <c r="R67" s="90">
        <f t="shared" si="22"/>
        <v>0</v>
      </c>
      <c r="S67" s="90"/>
      <c r="T67" s="90">
        <f>_xlfn.IFERROR(IF(Simulador!$U$30=1,0,IF($B67&lt;=0,0,$B67*Simulador!$AA$43)),0)</f>
        <v>0</v>
      </c>
      <c r="U67" s="90"/>
      <c r="V67" s="90">
        <f>_xlfn.IFERROR(IF(Simulador!$U$30=1,0,IF($B67&lt;=0,0,IF(Simulador!$D$22&gt;0,Simulador!$D$22,Simulador!$O$24)*Simulador!$AA$44)),0)</f>
        <v>0</v>
      </c>
      <c r="W67" s="90"/>
      <c r="X67" s="90"/>
      <c r="Y67" s="90">
        <f t="shared" si="5"/>
        <v>0</v>
      </c>
      <c r="Z67" s="13"/>
      <c r="AA67" s="18"/>
      <c r="AB67" s="23"/>
      <c r="AC67" s="364"/>
      <c r="AD67" s="222">
        <v>4</v>
      </c>
      <c r="AE67" s="219">
        <v>5</v>
      </c>
      <c r="AF67" s="269">
        <f t="shared" si="6"/>
        <v>0</v>
      </c>
      <c r="AG67" s="209">
        <f t="shared" si="7"/>
        <v>0</v>
      </c>
      <c r="AH67" s="209">
        <f t="shared" si="8"/>
        <v>0</v>
      </c>
      <c r="AI67" s="219">
        <f t="shared" si="0"/>
        <v>0</v>
      </c>
      <c r="AJ67" s="425">
        <f t="shared" si="21"/>
        <v>0</v>
      </c>
      <c r="AK67" s="57">
        <f t="shared" si="18"/>
        <v>0</v>
      </c>
      <c r="AL67" s="57">
        <f t="shared" si="23"/>
        <v>0</v>
      </c>
      <c r="AM67" s="58">
        <f t="shared" si="2"/>
        <v>0</v>
      </c>
      <c r="AN67" s="57">
        <f t="shared" si="19"/>
        <v>0</v>
      </c>
      <c r="AO67" s="432">
        <f t="shared" si="20"/>
        <v>0</v>
      </c>
      <c r="AP67" s="90">
        <f>_xlfn.IFERROR(IF(Simulador!$U$30=1,0,IF($AK67&lt;=0,0,$AK67*Simulador!$AA$43)),0)+_xlfn.IFERROR(IF(Simulador!$U$30=1,0,IF($AK67&lt;=0,0,IF(Simulador!$D$22&gt;0,Simulador!$D$22,Simulador!$O$24)*Simulador!$AA$44)),0)</f>
        <v>0</v>
      </c>
      <c r="AQ67" s="90">
        <f t="shared" si="10"/>
        <v>0</v>
      </c>
      <c r="AR67" s="26">
        <f t="shared" si="16"/>
        <v>0</v>
      </c>
      <c r="AS67">
        <f t="shared" si="11"/>
        <v>0</v>
      </c>
      <c r="AT67" s="549">
        <f t="shared" si="17"/>
      </c>
      <c r="AU67" s="404">
        <f t="shared" si="12"/>
        <v>0</v>
      </c>
      <c r="AV67" s="52">
        <v>53</v>
      </c>
      <c r="AW67" s="27"/>
      <c r="AZ67" s="52"/>
    </row>
    <row r="68" spans="1:52" ht="12.75">
      <c r="A68" s="503">
        <v>54</v>
      </c>
      <c r="B68" s="89">
        <f t="shared" si="13"/>
        <v>0</v>
      </c>
      <c r="C68" s="89"/>
      <c r="D68" s="90">
        <f>IF(B68+F68-D67&lt;=0,B68+F68,IF(AND(Simulador!$U$62=1,$AF$3=2),B68*AJ68,D67))</f>
        <v>0</v>
      </c>
      <c r="E68" s="90"/>
      <c r="F68" s="90">
        <f t="shared" si="3"/>
        <v>0</v>
      </c>
      <c r="G68" s="90"/>
      <c r="H68" s="90">
        <f t="shared" si="14"/>
        <v>0</v>
      </c>
      <c r="I68" s="91"/>
      <c r="J68" s="92"/>
      <c r="K68" s="91"/>
      <c r="L68" s="90">
        <f>IF(Simulador!$T$41=1,0,J68*Simulador!$W$39*1.16)</f>
        <v>0</v>
      </c>
      <c r="M68" s="90"/>
      <c r="N68" s="93">
        <f>IF(B68-H68=0,0,N66)</f>
        <v>0</v>
      </c>
      <c r="O68" s="12"/>
      <c r="P68" s="544">
        <f t="shared" si="15"/>
        <v>0</v>
      </c>
      <c r="Q68" s="4"/>
      <c r="R68" s="90">
        <f t="shared" si="22"/>
        <v>0</v>
      </c>
      <c r="S68" s="90"/>
      <c r="T68" s="90">
        <f>_xlfn.IFERROR(IF(Simulador!$U$30=1,0,IF($B68&lt;=0,0,$B68*Simulador!$AA$43)),0)</f>
        <v>0</v>
      </c>
      <c r="U68" s="90"/>
      <c r="V68" s="90">
        <f>_xlfn.IFERROR(IF(Simulador!$U$30=1,0,IF($B68&lt;=0,0,IF(Simulador!$D$22&gt;0,Simulador!$D$22,Simulador!$O$24)*Simulador!$AA$44)),0)</f>
        <v>0</v>
      </c>
      <c r="W68" s="90"/>
      <c r="X68" s="90"/>
      <c r="Y68" s="90">
        <f t="shared" si="5"/>
        <v>0</v>
      </c>
      <c r="Z68" s="13"/>
      <c r="AA68" s="18"/>
      <c r="AB68" s="23"/>
      <c r="AC68" s="364"/>
      <c r="AD68" s="222">
        <v>4</v>
      </c>
      <c r="AE68" s="219">
        <v>6</v>
      </c>
      <c r="AF68" s="269">
        <f t="shared" si="6"/>
        <v>0</v>
      </c>
      <c r="AG68" s="209">
        <f t="shared" si="7"/>
        <v>0</v>
      </c>
      <c r="AH68" s="209">
        <f t="shared" si="8"/>
        <v>0</v>
      </c>
      <c r="AI68" s="219">
        <f t="shared" si="0"/>
        <v>0</v>
      </c>
      <c r="AJ68" s="425">
        <f t="shared" si="21"/>
        <v>0</v>
      </c>
      <c r="AK68" s="57">
        <f t="shared" si="18"/>
        <v>0</v>
      </c>
      <c r="AL68" s="57">
        <f t="shared" si="23"/>
        <v>0</v>
      </c>
      <c r="AM68" s="58">
        <f t="shared" si="2"/>
        <v>0</v>
      </c>
      <c r="AN68" s="57">
        <f t="shared" si="19"/>
        <v>0</v>
      </c>
      <c r="AO68" s="432">
        <f t="shared" si="20"/>
        <v>0</v>
      </c>
      <c r="AP68" s="90">
        <f>_xlfn.IFERROR(IF(Simulador!$U$30=1,0,IF($AK68&lt;=0,0,$AK68*Simulador!$AA$43)),0)+_xlfn.IFERROR(IF(Simulador!$U$30=1,0,IF($AK68&lt;=0,0,IF(Simulador!$D$22&gt;0,Simulador!$D$22,Simulador!$O$24)*Simulador!$AA$44)),0)</f>
        <v>0</v>
      </c>
      <c r="AQ68" s="90">
        <f t="shared" si="10"/>
        <v>0</v>
      </c>
      <c r="AR68" s="26">
        <f t="shared" si="16"/>
        <v>0</v>
      </c>
      <c r="AS68">
        <f t="shared" si="11"/>
        <v>0</v>
      </c>
      <c r="AT68" s="549">
        <f t="shared" si="17"/>
      </c>
      <c r="AU68" s="404">
        <f t="shared" si="12"/>
        <v>0</v>
      </c>
      <c r="AV68" s="52">
        <v>54</v>
      </c>
      <c r="AW68" s="27"/>
      <c r="AZ68" s="52"/>
    </row>
    <row r="69" spans="1:52" ht="12.75">
      <c r="A69" s="503">
        <v>55</v>
      </c>
      <c r="B69" s="89">
        <f t="shared" si="13"/>
        <v>0</v>
      </c>
      <c r="C69" s="89"/>
      <c r="D69" s="90">
        <f>IF(B69+F69-D68&lt;=0,B69+F69,IF(AND(Simulador!$U$62=1,$AF$3=2),B69*AJ69,D68))</f>
        <v>0</v>
      </c>
      <c r="E69" s="90"/>
      <c r="F69" s="90">
        <f t="shared" si="3"/>
        <v>0</v>
      </c>
      <c r="G69" s="90"/>
      <c r="H69" s="90">
        <f t="shared" si="14"/>
        <v>0</v>
      </c>
      <c r="I69" s="91"/>
      <c r="J69" s="92"/>
      <c r="K69" s="91"/>
      <c r="L69" s="90">
        <f>IF(Simulador!$T$41=1,0,J69*Simulador!$W$39*1.16)</f>
        <v>0</v>
      </c>
      <c r="M69" s="90"/>
      <c r="N69" s="94"/>
      <c r="O69" s="12"/>
      <c r="P69" s="544">
        <f t="shared" si="15"/>
        <v>0</v>
      </c>
      <c r="Q69" s="4"/>
      <c r="R69" s="90">
        <f t="shared" si="22"/>
        <v>0</v>
      </c>
      <c r="S69" s="90"/>
      <c r="T69" s="90">
        <f>_xlfn.IFERROR(IF(Simulador!$U$30=1,0,IF($B69&lt;=0,0,$B69*Simulador!$AA$43)),0)</f>
        <v>0</v>
      </c>
      <c r="U69" s="90"/>
      <c r="V69" s="90">
        <f>_xlfn.IFERROR(IF(Simulador!$U$30=1,0,IF($B69&lt;=0,0,IF(Simulador!$D$22&gt;0,Simulador!$D$22,Simulador!$O$24)*Simulador!$AA$44)),0)</f>
        <v>0</v>
      </c>
      <c r="W69" s="90"/>
      <c r="X69" s="90"/>
      <c r="Y69" s="90">
        <f t="shared" si="5"/>
        <v>0</v>
      </c>
      <c r="Z69" s="13"/>
      <c r="AA69" s="18"/>
      <c r="AB69" s="23"/>
      <c r="AC69" s="364"/>
      <c r="AD69" s="222">
        <v>4</v>
      </c>
      <c r="AE69" s="219">
        <v>7</v>
      </c>
      <c r="AF69" s="269">
        <f t="shared" si="6"/>
        <v>0</v>
      </c>
      <c r="AG69" s="209">
        <f t="shared" si="7"/>
        <v>0</v>
      </c>
      <c r="AH69" s="209">
        <f t="shared" si="8"/>
        <v>0</v>
      </c>
      <c r="AI69" s="219">
        <f t="shared" si="0"/>
        <v>0</v>
      </c>
      <c r="AJ69" s="425">
        <f t="shared" si="21"/>
        <v>0</v>
      </c>
      <c r="AK69" s="57">
        <f t="shared" si="18"/>
        <v>0</v>
      </c>
      <c r="AL69" s="57">
        <f t="shared" si="23"/>
        <v>0</v>
      </c>
      <c r="AM69" s="58">
        <f t="shared" si="2"/>
        <v>0</v>
      </c>
      <c r="AN69" s="57">
        <f t="shared" si="19"/>
        <v>0</v>
      </c>
      <c r="AO69" s="432">
        <f t="shared" si="20"/>
        <v>0</v>
      </c>
      <c r="AP69" s="90">
        <f>_xlfn.IFERROR(IF(Simulador!$U$30=1,0,IF($AK69&lt;=0,0,$AK69*Simulador!$AA$43)),0)+_xlfn.IFERROR(IF(Simulador!$U$30=1,0,IF($AK69&lt;=0,0,IF(Simulador!$D$22&gt;0,Simulador!$D$22,Simulador!$O$24)*Simulador!$AA$44)),0)</f>
        <v>0</v>
      </c>
      <c r="AQ69" s="90">
        <f t="shared" si="10"/>
        <v>0</v>
      </c>
      <c r="AR69" s="26">
        <f t="shared" si="16"/>
        <v>0</v>
      </c>
      <c r="AS69">
        <f t="shared" si="11"/>
        <v>0</v>
      </c>
      <c r="AT69" s="549">
        <f t="shared" si="17"/>
      </c>
      <c r="AU69" s="404">
        <f t="shared" si="12"/>
        <v>0</v>
      </c>
      <c r="AV69" s="52">
        <v>55</v>
      </c>
      <c r="AW69" s="27"/>
      <c r="AZ69" s="52"/>
    </row>
    <row r="70" spans="1:52" ht="12.75">
      <c r="A70" s="503">
        <v>56</v>
      </c>
      <c r="B70" s="89">
        <f t="shared" si="13"/>
        <v>0</v>
      </c>
      <c r="C70" s="89"/>
      <c r="D70" s="90">
        <f>IF(B70+F70-D69&lt;=0,B70+F70,IF(AND(Simulador!$U$62=1,$AF$3=2),B70*AJ70,D69))</f>
        <v>0</v>
      </c>
      <c r="E70" s="90"/>
      <c r="F70" s="90">
        <f t="shared" si="3"/>
        <v>0</v>
      </c>
      <c r="G70" s="90"/>
      <c r="H70" s="90">
        <f t="shared" si="14"/>
        <v>0</v>
      </c>
      <c r="I70" s="91"/>
      <c r="J70" s="92"/>
      <c r="K70" s="91"/>
      <c r="L70" s="90">
        <f>IF(Simulador!$T$41=1,0,J70*Simulador!$W$39*1.16)</f>
        <v>0</v>
      </c>
      <c r="M70" s="90"/>
      <c r="N70" s="93">
        <f>IF(B70-H70=0,0,N68)</f>
        <v>0</v>
      </c>
      <c r="O70" s="12"/>
      <c r="P70" s="544">
        <f t="shared" si="15"/>
        <v>0</v>
      </c>
      <c r="Q70" s="4"/>
      <c r="R70" s="90">
        <f t="shared" si="22"/>
        <v>0</v>
      </c>
      <c r="S70" s="90"/>
      <c r="T70" s="90">
        <f>_xlfn.IFERROR(IF(Simulador!$U$30=1,0,IF($B70&lt;=0,0,$B70*Simulador!$AA$43)),0)</f>
        <v>0</v>
      </c>
      <c r="U70" s="90"/>
      <c r="V70" s="90">
        <f>_xlfn.IFERROR(IF(Simulador!$U$30=1,0,IF($B70&lt;=0,0,IF(Simulador!$D$22&gt;0,Simulador!$D$22,Simulador!$O$24)*Simulador!$AA$44)),0)</f>
        <v>0</v>
      </c>
      <c r="W70" s="90"/>
      <c r="X70" s="90"/>
      <c r="Y70" s="90">
        <f t="shared" si="5"/>
        <v>0</v>
      </c>
      <c r="Z70" s="13"/>
      <c r="AA70" s="18"/>
      <c r="AB70" s="23"/>
      <c r="AC70" s="364"/>
      <c r="AD70" s="222">
        <v>4</v>
      </c>
      <c r="AE70" s="219">
        <v>8</v>
      </c>
      <c r="AF70" s="269">
        <f t="shared" si="6"/>
        <v>0</v>
      </c>
      <c r="AG70" s="209">
        <f t="shared" si="7"/>
        <v>0</v>
      </c>
      <c r="AH70" s="209">
        <f t="shared" si="8"/>
        <v>0</v>
      </c>
      <c r="AI70" s="219">
        <f t="shared" si="0"/>
        <v>0</v>
      </c>
      <c r="AJ70" s="425">
        <f t="shared" si="21"/>
        <v>0</v>
      </c>
      <c r="AK70" s="57">
        <f t="shared" si="18"/>
        <v>0</v>
      </c>
      <c r="AL70" s="57">
        <f t="shared" si="23"/>
        <v>0</v>
      </c>
      <c r="AM70" s="58">
        <f t="shared" si="2"/>
        <v>0</v>
      </c>
      <c r="AN70" s="57">
        <f t="shared" si="19"/>
        <v>0</v>
      </c>
      <c r="AO70" s="432">
        <f t="shared" si="20"/>
        <v>0</v>
      </c>
      <c r="AP70" s="90">
        <f>_xlfn.IFERROR(IF(Simulador!$U$30=1,0,IF($AK70&lt;=0,0,$AK70*Simulador!$AA$43)),0)+_xlfn.IFERROR(IF(Simulador!$U$30=1,0,IF($AK70&lt;=0,0,IF(Simulador!$D$22&gt;0,Simulador!$D$22,Simulador!$O$24)*Simulador!$AA$44)),0)</f>
        <v>0</v>
      </c>
      <c r="AQ70" s="90">
        <f t="shared" si="10"/>
        <v>0</v>
      </c>
      <c r="AR70" s="26">
        <f t="shared" si="16"/>
        <v>0</v>
      </c>
      <c r="AS70">
        <f t="shared" si="11"/>
        <v>0</v>
      </c>
      <c r="AT70" s="549">
        <f t="shared" si="17"/>
      </c>
      <c r="AU70" s="404">
        <f t="shared" si="12"/>
        <v>0</v>
      </c>
      <c r="AV70" s="52">
        <v>56</v>
      </c>
      <c r="AW70" s="27"/>
      <c r="AZ70" s="52"/>
    </row>
    <row r="71" spans="1:52" ht="12.75">
      <c r="A71" s="503">
        <v>57</v>
      </c>
      <c r="B71" s="89">
        <f t="shared" si="13"/>
        <v>0</v>
      </c>
      <c r="C71" s="89"/>
      <c r="D71" s="90">
        <f>IF(B71+F71-D70&lt;=0,B71+F71,IF(AND(Simulador!$U$62=1,$AF$3=2),B71*AJ71,D70))</f>
        <v>0</v>
      </c>
      <c r="E71" s="90"/>
      <c r="F71" s="90">
        <f t="shared" si="3"/>
        <v>0</v>
      </c>
      <c r="G71" s="90"/>
      <c r="H71" s="90">
        <f t="shared" si="14"/>
        <v>0</v>
      </c>
      <c r="I71" s="91"/>
      <c r="J71" s="92"/>
      <c r="K71" s="91"/>
      <c r="L71" s="90">
        <f>IF(Simulador!$T$41=1,0,J71*Simulador!$W$39*1.16)</f>
        <v>0</v>
      </c>
      <c r="M71" s="90"/>
      <c r="N71" s="94"/>
      <c r="O71" s="12"/>
      <c r="P71" s="544">
        <f t="shared" si="15"/>
        <v>0</v>
      </c>
      <c r="Q71" s="4"/>
      <c r="R71" s="90">
        <f t="shared" si="22"/>
        <v>0</v>
      </c>
      <c r="S71" s="90"/>
      <c r="T71" s="90">
        <f>_xlfn.IFERROR(IF(Simulador!$U$30=1,0,IF($B71&lt;=0,0,$B71*Simulador!$AA$43)),0)</f>
        <v>0</v>
      </c>
      <c r="U71" s="90"/>
      <c r="V71" s="90">
        <f>_xlfn.IFERROR(IF(Simulador!$U$30=1,0,IF($B71&lt;=0,0,IF(Simulador!$D$22&gt;0,Simulador!$D$22,Simulador!$O$24)*Simulador!$AA$44)),0)</f>
        <v>0</v>
      </c>
      <c r="W71" s="90"/>
      <c r="X71" s="90"/>
      <c r="Y71" s="90">
        <f t="shared" si="5"/>
        <v>0</v>
      </c>
      <c r="Z71" s="13"/>
      <c r="AA71" s="18"/>
      <c r="AB71" s="23"/>
      <c r="AC71" s="364"/>
      <c r="AD71" s="222">
        <v>4</v>
      </c>
      <c r="AE71" s="221">
        <v>9</v>
      </c>
      <c r="AF71" s="269">
        <f t="shared" si="6"/>
        <v>0</v>
      </c>
      <c r="AG71" s="209">
        <f t="shared" si="7"/>
        <v>0</v>
      </c>
      <c r="AH71" s="209">
        <f t="shared" si="8"/>
        <v>0</v>
      </c>
      <c r="AI71" s="219">
        <f t="shared" si="0"/>
        <v>0</v>
      </c>
      <c r="AJ71" s="425">
        <f t="shared" si="21"/>
        <v>0</v>
      </c>
      <c r="AK71" s="57">
        <f t="shared" si="18"/>
        <v>0</v>
      </c>
      <c r="AL71" s="57">
        <f t="shared" si="23"/>
        <v>0</v>
      </c>
      <c r="AM71" s="58">
        <f t="shared" si="2"/>
        <v>0</v>
      </c>
      <c r="AN71" s="57">
        <f t="shared" si="19"/>
        <v>0</v>
      </c>
      <c r="AO71" s="432">
        <f t="shared" si="20"/>
        <v>0</v>
      </c>
      <c r="AP71" s="90">
        <f>_xlfn.IFERROR(IF(Simulador!$U$30=1,0,IF($AK71&lt;=0,0,$AK71*Simulador!$AA$43)),0)+_xlfn.IFERROR(IF(Simulador!$U$30=1,0,IF($AK71&lt;=0,0,IF(Simulador!$D$22&gt;0,Simulador!$D$22,Simulador!$O$24)*Simulador!$AA$44)),0)</f>
        <v>0</v>
      </c>
      <c r="AQ71" s="90">
        <f t="shared" si="10"/>
        <v>0</v>
      </c>
      <c r="AR71" s="26">
        <f t="shared" si="16"/>
        <v>0</v>
      </c>
      <c r="AS71">
        <f t="shared" si="11"/>
        <v>0</v>
      </c>
      <c r="AT71" s="549">
        <f t="shared" si="17"/>
      </c>
      <c r="AU71" s="404">
        <f t="shared" si="12"/>
        <v>0</v>
      </c>
      <c r="AV71" s="52">
        <v>57</v>
      </c>
      <c r="AW71" s="27"/>
      <c r="AZ71" s="52"/>
    </row>
    <row r="72" spans="1:52" ht="12.75">
      <c r="A72" s="503">
        <v>58</v>
      </c>
      <c r="B72" s="89">
        <f t="shared" si="13"/>
        <v>0</v>
      </c>
      <c r="C72" s="89"/>
      <c r="D72" s="90">
        <f>IF(B72+F72-D71&lt;=0,B72+F72,IF(AND(Simulador!$U$62=1,$AF$3=2),B72*AJ72,D71))</f>
        <v>0</v>
      </c>
      <c r="E72" s="90"/>
      <c r="F72" s="90">
        <f t="shared" si="3"/>
        <v>0</v>
      </c>
      <c r="G72" s="90"/>
      <c r="H72" s="90">
        <f t="shared" si="14"/>
        <v>0</v>
      </c>
      <c r="I72" s="91"/>
      <c r="J72" s="92"/>
      <c r="K72" s="91"/>
      <c r="L72" s="90">
        <f>IF(Simulador!$T$41=1,0,J72*Simulador!$W$39*1.16)</f>
        <v>0</v>
      </c>
      <c r="M72" s="90"/>
      <c r="N72" s="93">
        <f>IF(B72-H72=0,0,N70)</f>
        <v>0</v>
      </c>
      <c r="O72" s="12"/>
      <c r="P72" s="544">
        <f t="shared" si="15"/>
        <v>0</v>
      </c>
      <c r="Q72" s="4"/>
      <c r="R72" s="90">
        <f t="shared" si="22"/>
        <v>0</v>
      </c>
      <c r="S72" s="90"/>
      <c r="T72" s="90">
        <f>_xlfn.IFERROR(IF(Simulador!$U$30=1,0,IF($B72&lt;=0,0,$B72*Simulador!$AA$43)),0)</f>
        <v>0</v>
      </c>
      <c r="U72" s="90"/>
      <c r="V72" s="90">
        <f>_xlfn.IFERROR(IF(Simulador!$U$30=1,0,IF($B72&lt;=0,0,IF(Simulador!$D$22&gt;0,Simulador!$D$22,Simulador!$O$24)*Simulador!$AA$44)),0)</f>
        <v>0</v>
      </c>
      <c r="W72" s="90"/>
      <c r="X72" s="90"/>
      <c r="Y72" s="90">
        <f t="shared" si="5"/>
        <v>0</v>
      </c>
      <c r="Z72" s="13"/>
      <c r="AA72" s="18"/>
      <c r="AB72" s="23"/>
      <c r="AC72" s="364"/>
      <c r="AD72" s="222">
        <v>4</v>
      </c>
      <c r="AE72" s="221">
        <v>10</v>
      </c>
      <c r="AF72" s="269">
        <f t="shared" si="6"/>
        <v>0</v>
      </c>
      <c r="AG72" s="209">
        <f t="shared" si="7"/>
        <v>0</v>
      </c>
      <c r="AH72" s="209">
        <f t="shared" si="8"/>
        <v>0</v>
      </c>
      <c r="AI72" s="219">
        <f t="shared" si="0"/>
        <v>0</v>
      </c>
      <c r="AJ72" s="425">
        <f t="shared" si="21"/>
        <v>0</v>
      </c>
      <c r="AK72" s="57">
        <f t="shared" si="18"/>
        <v>0</v>
      </c>
      <c r="AL72" s="57">
        <f t="shared" si="23"/>
        <v>0</v>
      </c>
      <c r="AM72" s="58">
        <f t="shared" si="2"/>
        <v>0</v>
      </c>
      <c r="AN72" s="57">
        <f t="shared" si="19"/>
        <v>0</v>
      </c>
      <c r="AO72" s="432">
        <f t="shared" si="20"/>
        <v>0</v>
      </c>
      <c r="AP72" s="90">
        <f>_xlfn.IFERROR(IF(Simulador!$U$30=1,0,IF($AK72&lt;=0,0,$AK72*Simulador!$AA$43)),0)+_xlfn.IFERROR(IF(Simulador!$U$30=1,0,IF($AK72&lt;=0,0,IF(Simulador!$D$22&gt;0,Simulador!$D$22,Simulador!$O$24)*Simulador!$AA$44)),0)</f>
        <v>0</v>
      </c>
      <c r="AQ72" s="90">
        <f t="shared" si="10"/>
        <v>0</v>
      </c>
      <c r="AR72" s="26">
        <f t="shared" si="16"/>
        <v>0</v>
      </c>
      <c r="AS72">
        <f t="shared" si="11"/>
        <v>0</v>
      </c>
      <c r="AT72" s="549">
        <f t="shared" si="17"/>
      </c>
      <c r="AU72" s="404">
        <f t="shared" si="12"/>
        <v>0</v>
      </c>
      <c r="AV72" s="52">
        <v>58</v>
      </c>
      <c r="AW72" s="27"/>
      <c r="AZ72" s="52"/>
    </row>
    <row r="73" spans="1:52" ht="12.75">
      <c r="A73" s="503">
        <v>59</v>
      </c>
      <c r="B73" s="89">
        <f t="shared" si="13"/>
        <v>0</v>
      </c>
      <c r="C73" s="89"/>
      <c r="D73" s="90">
        <f>IF(B73+F73-D72&lt;=0,B73+F73,IF(AND(Simulador!$U$62=1,$AF$3=2),B73*AJ73,D72))</f>
        <v>0</v>
      </c>
      <c r="E73" s="90"/>
      <c r="F73" s="90">
        <f t="shared" si="3"/>
        <v>0</v>
      </c>
      <c r="G73" s="90"/>
      <c r="H73" s="90">
        <f t="shared" si="14"/>
        <v>0</v>
      </c>
      <c r="I73" s="91"/>
      <c r="J73" s="92"/>
      <c r="K73" s="91"/>
      <c r="L73" s="90">
        <f>IF(Simulador!$T$41=1,0,J73*Simulador!$W$39*1.16)</f>
        <v>0</v>
      </c>
      <c r="M73" s="90"/>
      <c r="N73" s="94"/>
      <c r="O73" s="12"/>
      <c r="P73" s="544">
        <f t="shared" si="15"/>
        <v>0</v>
      </c>
      <c r="Q73" s="4"/>
      <c r="R73" s="90">
        <f t="shared" si="22"/>
        <v>0</v>
      </c>
      <c r="S73" s="90"/>
      <c r="T73" s="90">
        <f>_xlfn.IFERROR(IF(Simulador!$U$30=1,0,IF($B73&lt;=0,0,$B73*Simulador!$AA$43)),0)</f>
        <v>0</v>
      </c>
      <c r="U73" s="90"/>
      <c r="V73" s="90">
        <f>_xlfn.IFERROR(IF(Simulador!$U$30=1,0,IF($B73&lt;=0,0,IF(Simulador!$D$22&gt;0,Simulador!$D$22,Simulador!$O$24)*Simulador!$AA$44)),0)</f>
        <v>0</v>
      </c>
      <c r="W73" s="90"/>
      <c r="X73" s="90"/>
      <c r="Y73" s="90">
        <f t="shared" si="5"/>
        <v>0</v>
      </c>
      <c r="Z73" s="13"/>
      <c r="AA73" s="18"/>
      <c r="AB73" s="23"/>
      <c r="AC73" s="364"/>
      <c r="AD73" s="222">
        <v>4</v>
      </c>
      <c r="AE73" s="219">
        <v>11</v>
      </c>
      <c r="AF73" s="269">
        <f t="shared" si="6"/>
        <v>0</v>
      </c>
      <c r="AG73" s="209">
        <f t="shared" si="7"/>
        <v>0</v>
      </c>
      <c r="AH73" s="209">
        <f t="shared" si="8"/>
        <v>0</v>
      </c>
      <c r="AI73" s="219">
        <f t="shared" si="0"/>
        <v>0</v>
      </c>
      <c r="AJ73" s="425">
        <f t="shared" si="21"/>
        <v>0</v>
      </c>
      <c r="AK73" s="57">
        <f t="shared" si="18"/>
        <v>0</v>
      </c>
      <c r="AL73" s="57">
        <f t="shared" si="23"/>
        <v>0</v>
      </c>
      <c r="AM73" s="58">
        <f t="shared" si="2"/>
        <v>0</v>
      </c>
      <c r="AN73" s="57">
        <f t="shared" si="19"/>
        <v>0</v>
      </c>
      <c r="AO73" s="432">
        <f t="shared" si="20"/>
        <v>0</v>
      </c>
      <c r="AP73" s="90">
        <f>_xlfn.IFERROR(IF(Simulador!$U$30=1,0,IF($AK73&lt;=0,0,$AK73*Simulador!$AA$43)),0)+_xlfn.IFERROR(IF(Simulador!$U$30=1,0,IF($AK73&lt;=0,0,IF(Simulador!$D$22&gt;0,Simulador!$D$22,Simulador!$O$24)*Simulador!$AA$44)),0)</f>
        <v>0</v>
      </c>
      <c r="AQ73" s="90">
        <f t="shared" si="10"/>
        <v>0</v>
      </c>
      <c r="AR73" s="26">
        <f t="shared" si="16"/>
        <v>0</v>
      </c>
      <c r="AS73">
        <f t="shared" si="11"/>
        <v>0</v>
      </c>
      <c r="AT73" s="549">
        <f t="shared" si="17"/>
      </c>
      <c r="AU73" s="404">
        <f t="shared" si="12"/>
        <v>0</v>
      </c>
      <c r="AV73" s="52">
        <v>59</v>
      </c>
      <c r="AW73" s="27"/>
      <c r="AZ73" s="52"/>
    </row>
    <row r="74" spans="1:52" ht="12.75">
      <c r="A74" s="503">
        <v>60</v>
      </c>
      <c r="B74" s="89">
        <f t="shared" si="13"/>
        <v>0</v>
      </c>
      <c r="C74" s="89"/>
      <c r="D74" s="90">
        <f>IF(B74+F74-D73&lt;=0,B74+F74,IF(AND(Simulador!$U$62=1,$AF$3=2),B74*AJ74,D73))</f>
        <v>0</v>
      </c>
      <c r="E74" s="90"/>
      <c r="F74" s="90">
        <f t="shared" si="3"/>
        <v>0</v>
      </c>
      <c r="G74" s="90"/>
      <c r="H74" s="90">
        <f t="shared" si="14"/>
        <v>0</v>
      </c>
      <c r="I74" s="91"/>
      <c r="J74" s="92"/>
      <c r="K74" s="91"/>
      <c r="L74" s="90">
        <f>IF(Simulador!$T$41=1,0,J74*Simulador!$W$39*1.16)</f>
        <v>0</v>
      </c>
      <c r="M74" s="90"/>
      <c r="N74" s="93">
        <f>IF(B74-H74=0,0,N72)</f>
        <v>0</v>
      </c>
      <c r="O74" s="12"/>
      <c r="P74" s="544">
        <f t="shared" si="15"/>
        <v>0</v>
      </c>
      <c r="Q74" s="4"/>
      <c r="R74" s="90">
        <f t="shared" si="22"/>
        <v>0</v>
      </c>
      <c r="S74" s="90"/>
      <c r="T74" s="90">
        <f>_xlfn.IFERROR(IF(Simulador!$U$30=1,0,IF($B74&lt;=0,0,$B74*Simulador!$AA$43)),0)</f>
        <v>0</v>
      </c>
      <c r="U74" s="90"/>
      <c r="V74" s="90">
        <f>_xlfn.IFERROR(IF(Simulador!$U$30=1,0,IF($B74&lt;=0,0,IF(Simulador!$D$22&gt;0,Simulador!$D$22,Simulador!$O$24)*Simulador!$AA$44)),0)</f>
        <v>0</v>
      </c>
      <c r="W74" s="90"/>
      <c r="X74" s="90"/>
      <c r="Y74" s="90">
        <f t="shared" si="5"/>
        <v>0</v>
      </c>
      <c r="Z74" s="13"/>
      <c r="AA74" s="18"/>
      <c r="AB74" s="23"/>
      <c r="AC74" s="366"/>
      <c r="AD74" s="222">
        <v>5</v>
      </c>
      <c r="AE74" s="219">
        <v>0</v>
      </c>
      <c r="AF74" s="269">
        <f>IF(R74&lt;=0.01,IF(R73&gt;0.01,A74,0),0)</f>
        <v>0</v>
      </c>
      <c r="AG74" s="209">
        <f t="shared" si="7"/>
        <v>0</v>
      </c>
      <c r="AH74" s="209">
        <f t="shared" si="8"/>
        <v>0</v>
      </c>
      <c r="AI74" s="219">
        <f t="shared" si="0"/>
        <v>0</v>
      </c>
      <c r="AJ74" s="425">
        <f t="shared" si="21"/>
        <v>0</v>
      </c>
      <c r="AK74" s="57">
        <f t="shared" si="18"/>
        <v>0</v>
      </c>
      <c r="AL74" s="57">
        <f t="shared" si="23"/>
        <v>0</v>
      </c>
      <c r="AM74" s="58">
        <f t="shared" si="2"/>
        <v>0</v>
      </c>
      <c r="AN74" s="57">
        <f t="shared" si="19"/>
        <v>0</v>
      </c>
      <c r="AO74" s="432">
        <f t="shared" si="20"/>
        <v>0</v>
      </c>
      <c r="AP74" s="90">
        <f>_xlfn.IFERROR(IF(Simulador!$U$30=1,0,IF($AK74&lt;=0,0,$AK74*Simulador!$AA$43)),0)+_xlfn.IFERROR(IF(Simulador!$U$30=1,0,IF($AK74&lt;=0,0,IF(Simulador!$D$22&gt;0,Simulador!$D$22,Simulador!$O$24)*Simulador!$AA$44)),0)</f>
        <v>0</v>
      </c>
      <c r="AQ74" s="90">
        <f t="shared" si="10"/>
        <v>0</v>
      </c>
      <c r="AR74" s="26">
        <f t="shared" si="16"/>
        <v>0</v>
      </c>
      <c r="AS74">
        <f t="shared" si="11"/>
        <v>0</v>
      </c>
      <c r="AT74" s="549">
        <f t="shared" si="17"/>
      </c>
      <c r="AU74" s="404">
        <f t="shared" si="12"/>
        <v>0</v>
      </c>
      <c r="AV74" s="52">
        <v>60</v>
      </c>
      <c r="AW74" s="27"/>
      <c r="AZ74" s="52"/>
    </row>
    <row r="75" spans="1:54" ht="12.75">
      <c r="A75" s="503">
        <v>61</v>
      </c>
      <c r="B75" s="89">
        <f t="shared" si="13"/>
        <v>0</v>
      </c>
      <c r="C75" s="89"/>
      <c r="D75" s="90">
        <f>IF(B75+F75-D74&lt;=0,B75+F75,IF(AND(OR(Simulador!$U$39=2,Simulador!$U$39=7),J74=0),_xlfn.IFERROR((((P75/360*AU75)/(1-(1+(P75/360*AU75))^-AS75))*B75)*(1+AA75),0),IF($AF$3=2,B75*AJ75,_xlfn.IFERROR((((P75/360*AU75)/(1-(1+(P75/360*AU75))^-AS75))*B75)*(1+AA75),0))))</f>
        <v>0</v>
      </c>
      <c r="E75" s="90"/>
      <c r="F75" s="90">
        <f t="shared" si="3"/>
        <v>0</v>
      </c>
      <c r="G75" s="90"/>
      <c r="H75" s="90">
        <f t="shared" si="14"/>
        <v>0</v>
      </c>
      <c r="I75" s="91"/>
      <c r="J75" s="92"/>
      <c r="K75" s="91"/>
      <c r="L75" s="90">
        <f>IF(Simulador!$T$41=1,0,J75*Simulador!$W$39*1.16)</f>
        <v>0</v>
      </c>
      <c r="M75" s="90"/>
      <c r="N75" s="94"/>
      <c r="O75" s="12"/>
      <c r="P75" s="544">
        <f>_xlfn.IFERROR(IF(B75=0,0,IF(Simulador!$D$26&lt;&gt;0,MIN(Simulador!$D$26+Simulador!$U$75,$AG$12),P74)),0)</f>
        <v>0</v>
      </c>
      <c r="Q75" s="4"/>
      <c r="R75" s="90">
        <f t="shared" si="22"/>
        <v>0</v>
      </c>
      <c r="S75" s="90"/>
      <c r="T75" s="90">
        <f>_xlfn.IFERROR(IF(Simulador!$U$30=1,0,IF($B75&lt;=0,0,$B75*Simulador!$AA$43)),0)</f>
        <v>0</v>
      </c>
      <c r="U75" s="90"/>
      <c r="V75" s="90">
        <f>_xlfn.IFERROR(IF(Simulador!$U$30=1,0,IF($B75&lt;=0,0,IF(Simulador!$D$22&gt;0,Simulador!$D$22,Simulador!$O$24)*Simulador!$AA$44)),0)</f>
        <v>0</v>
      </c>
      <c r="W75" s="90"/>
      <c r="X75" s="90"/>
      <c r="Y75" s="90">
        <f t="shared" si="5"/>
        <v>0</v>
      </c>
      <c r="Z75" s="13"/>
      <c r="AA75" s="18">
        <f>IF(B75&lt;=0,0,Simulador!$I$45)</f>
        <v>0</v>
      </c>
      <c r="AB75" s="23"/>
      <c r="AC75" s="364">
        <f>Simulador!D26</f>
        <v>0</v>
      </c>
      <c r="AD75" s="222">
        <v>5</v>
      </c>
      <c r="AE75" s="219">
        <v>1</v>
      </c>
      <c r="AF75" s="269">
        <f t="shared" si="6"/>
        <v>0</v>
      </c>
      <c r="AG75" s="209">
        <f t="shared" si="7"/>
        <v>0</v>
      </c>
      <c r="AH75" s="209">
        <f t="shared" si="8"/>
        <v>0</v>
      </c>
      <c r="AI75" s="219">
        <f t="shared" si="0"/>
        <v>0</v>
      </c>
      <c r="AJ75" s="425">
        <f>_xlfn.IFERROR((AL75/AK75),0)</f>
        <v>0</v>
      </c>
      <c r="AK75" s="57">
        <f t="shared" si="18"/>
        <v>0</v>
      </c>
      <c r="AL75" s="90">
        <f>_xlfn.IFERROR(((AR75/360*AU75)/(1-(1+(AR75/360*AU75))^-AS75))*AK75,0)</f>
        <v>0</v>
      </c>
      <c r="AM75" s="58">
        <f t="shared" si="2"/>
        <v>0</v>
      </c>
      <c r="AN75" s="57">
        <f t="shared" si="19"/>
        <v>0</v>
      </c>
      <c r="AO75" s="432">
        <f>+AK75-AN75</f>
        <v>0</v>
      </c>
      <c r="AP75" s="90">
        <f>_xlfn.IFERROR(IF(Simulador!$U$30=1,0,IF($AK75&lt;=0,0,$AK75*Simulador!$AA$43)),0)+_xlfn.IFERROR(IF(Simulador!$U$30=1,0,IF($AK75&lt;=0,0,IF(Simulador!$D$22&gt;0,Simulador!$D$22,Simulador!$O$24)*Simulador!$AA$44)),0)</f>
        <v>0</v>
      </c>
      <c r="AQ75" s="90">
        <f t="shared" si="10"/>
        <v>0</v>
      </c>
      <c r="AR75" s="26">
        <f>_xlfn.IFERROR(IF(AK75=0,0,IF(Simulador!$D$26&lt;&gt;0,MIN(Simulador!$D$26+Simulador!$U$75,$AG$12),AR74)),0)</f>
        <v>0</v>
      </c>
      <c r="AS75" s="433">
        <f t="shared" si="11"/>
        <v>0</v>
      </c>
      <c r="AT75" s="549">
        <f t="shared" si="17"/>
      </c>
      <c r="AU75" s="404">
        <f t="shared" si="12"/>
        <v>0</v>
      </c>
      <c r="AV75" s="52">
        <v>61</v>
      </c>
      <c r="AW75" s="27"/>
      <c r="AX75" s="90"/>
      <c r="AY75" s="90"/>
      <c r="AZ75" s="90"/>
      <c r="BB75" s="444"/>
    </row>
    <row r="76" spans="1:54" ht="12.75">
      <c r="A76" s="503">
        <v>62</v>
      </c>
      <c r="B76" s="89">
        <f t="shared" si="13"/>
        <v>0</v>
      </c>
      <c r="C76" s="89"/>
      <c r="D76" s="90">
        <f>IF(B76+F76-D75&lt;=0,B76+F76,IF(AND(OR(Simulador!$U$39=2,Simulador!$U$39=7),J75=0),_xlfn.IFERROR((((P76/360*AU76)/(1-(1+(P76/360*AU76))^-AS76))*B76)*(1+AA76),0),IF($AF$3=2,B76*AJ76,_xlfn.IFERROR((((P76/360*AU76)/(1-(1+(P76/360*AU76))^-AS76))*B76)*(1+AA76),0))))</f>
        <v>0</v>
      </c>
      <c r="E76" s="90"/>
      <c r="F76" s="90">
        <f t="shared" si="3"/>
        <v>0</v>
      </c>
      <c r="G76" s="90"/>
      <c r="H76" s="90">
        <f t="shared" si="14"/>
        <v>0</v>
      </c>
      <c r="I76" s="91"/>
      <c r="J76" s="92"/>
      <c r="K76" s="91"/>
      <c r="L76" s="90">
        <f>IF(Simulador!$T$41=1,0,J76*Simulador!$W$39*1.16)</f>
        <v>0</v>
      </c>
      <c r="M76" s="90"/>
      <c r="N76" s="93">
        <f>IF(B76-H76=0,0,N74*(1+(Simulador!$AH$72)))</f>
        <v>0</v>
      </c>
      <c r="O76" s="12"/>
      <c r="P76" s="544">
        <f t="shared" si="15"/>
        <v>0</v>
      </c>
      <c r="Q76" s="4"/>
      <c r="R76" s="90">
        <f t="shared" si="22"/>
        <v>0</v>
      </c>
      <c r="S76" s="90"/>
      <c r="T76" s="90">
        <f>_xlfn.IFERROR(IF(Simulador!$U$30=1,0,IF($B76&lt;=0,0,$B76*Simulador!$AA$43)),0)</f>
        <v>0</v>
      </c>
      <c r="U76" s="90"/>
      <c r="V76" s="90">
        <f>_xlfn.IFERROR(IF(Simulador!$U$30=1,0,IF($B76&lt;=0,0,IF(Simulador!$D$22&gt;0,Simulador!$D$22,Simulador!$O$24)*Simulador!$AA$44)),0)</f>
        <v>0</v>
      </c>
      <c r="W76" s="90"/>
      <c r="X76" s="90"/>
      <c r="Y76" s="90">
        <f t="shared" si="5"/>
        <v>0</v>
      </c>
      <c r="Z76" s="13"/>
      <c r="AA76" s="18"/>
      <c r="AB76" s="23"/>
      <c r="AC76" s="364"/>
      <c r="AD76" s="222">
        <v>5</v>
      </c>
      <c r="AE76" s="220">
        <v>2</v>
      </c>
      <c r="AF76" s="269">
        <f t="shared" si="6"/>
        <v>0</v>
      </c>
      <c r="AG76" s="209">
        <f t="shared" si="7"/>
        <v>0</v>
      </c>
      <c r="AH76" s="209">
        <f t="shared" si="8"/>
        <v>0</v>
      </c>
      <c r="AI76" s="219">
        <f t="shared" si="0"/>
        <v>0</v>
      </c>
      <c r="AJ76" s="425">
        <f t="shared" si="21"/>
        <v>0</v>
      </c>
      <c r="AK76" s="57">
        <f>+AO75</f>
        <v>0</v>
      </c>
      <c r="AL76" s="90">
        <f>_xlfn.IFERROR(((AR76/360*AU76)/(1-(1+(AR76/360*AU76))^-AS76))*AK76,0)</f>
        <v>0</v>
      </c>
      <c r="AM76" s="58">
        <f>_xlfn.IFERROR(IF(AK76=0,0,AR76/360*AU76*AK76),0)</f>
        <v>0</v>
      </c>
      <c r="AN76" s="57">
        <f>+AL76-AM76</f>
        <v>0</v>
      </c>
      <c r="AO76" s="432">
        <f>+AK76-AN76</f>
        <v>0</v>
      </c>
      <c r="AP76" s="90">
        <f>_xlfn.IFERROR(IF(Simulador!$U$30=1,0,IF($AK76&lt;=0,0,$AK76*Simulador!$AA$43)),0)+_xlfn.IFERROR(IF(Simulador!$U$30=1,0,IF($AK76&lt;=0,0,IF(Simulador!$D$22&gt;0,Simulador!$D$22,Simulador!$O$24)*Simulador!$AA$44)),0)</f>
        <v>0</v>
      </c>
      <c r="AQ76" s="90">
        <f t="shared" si="10"/>
        <v>0</v>
      </c>
      <c r="AR76" s="26">
        <f t="shared" si="16"/>
        <v>0</v>
      </c>
      <c r="AS76">
        <f t="shared" si="11"/>
        <v>0</v>
      </c>
      <c r="AT76" s="549">
        <f t="shared" si="17"/>
      </c>
      <c r="AU76" s="404">
        <f t="shared" si="12"/>
        <v>0</v>
      </c>
      <c r="AV76" s="52">
        <v>62</v>
      </c>
      <c r="AW76" s="27"/>
      <c r="AX76" s="90"/>
      <c r="AY76" s="90"/>
      <c r="AZ76" s="90"/>
      <c r="BB76" s="90"/>
    </row>
    <row r="77" spans="1:52" ht="12.75">
      <c r="A77" s="503">
        <v>63</v>
      </c>
      <c r="B77" s="89">
        <f t="shared" si="13"/>
        <v>0</v>
      </c>
      <c r="C77" s="89"/>
      <c r="D77" s="90">
        <f>IF(B77+F77-D76&lt;=0,B77+F77,IF(AND(OR(Simulador!$U$39=2,Simulador!$U$39=7),J76=0),_xlfn.IFERROR((((P77/360*AU77)/(1-(1+(P77/360*AU77))^-AS77))*B77)*(1+AA77),0),IF($AF$3=2,B77*AJ77,_xlfn.IFERROR((((P77/360*AU77)/(1-(1+(P77/360*AU77))^-AS77))*B77)*(1+AA77),0))))</f>
        <v>0</v>
      </c>
      <c r="E77" s="90"/>
      <c r="F77" s="90">
        <f t="shared" si="3"/>
        <v>0</v>
      </c>
      <c r="G77" s="90"/>
      <c r="H77" s="90">
        <f t="shared" si="14"/>
        <v>0</v>
      </c>
      <c r="I77" s="91"/>
      <c r="J77" s="92"/>
      <c r="K77" s="91"/>
      <c r="L77" s="90">
        <f>IF(Simulador!$T$41=1,0,J77*Simulador!$W$39*1.16)</f>
        <v>0</v>
      </c>
      <c r="M77" s="90"/>
      <c r="N77" s="94"/>
      <c r="O77" s="12"/>
      <c r="P77" s="544">
        <f t="shared" si="15"/>
        <v>0</v>
      </c>
      <c r="Q77" s="4"/>
      <c r="R77" s="90">
        <f t="shared" si="22"/>
        <v>0</v>
      </c>
      <c r="S77" s="90"/>
      <c r="T77" s="90">
        <f>_xlfn.IFERROR(IF(Simulador!$U$30=1,0,IF($B77&lt;=0,0,$B77*Simulador!$AA$43)),0)</f>
        <v>0</v>
      </c>
      <c r="U77" s="90"/>
      <c r="V77" s="90">
        <f>_xlfn.IFERROR(IF(Simulador!$U$30=1,0,IF($B77&lt;=0,0,IF(Simulador!$D$22&gt;0,Simulador!$D$22,Simulador!$O$24)*Simulador!$AA$44)),0)</f>
        <v>0</v>
      </c>
      <c r="W77" s="90"/>
      <c r="X77" s="90"/>
      <c r="Y77" s="90">
        <f t="shared" si="5"/>
        <v>0</v>
      </c>
      <c r="Z77" s="13"/>
      <c r="AA77" s="18"/>
      <c r="AB77" s="23"/>
      <c r="AC77" s="364"/>
      <c r="AD77" s="222">
        <v>5</v>
      </c>
      <c r="AE77" s="220">
        <v>3</v>
      </c>
      <c r="AF77" s="269">
        <f t="shared" si="6"/>
        <v>0</v>
      </c>
      <c r="AG77" s="209">
        <f t="shared" si="7"/>
        <v>0</v>
      </c>
      <c r="AH77" s="209">
        <f t="shared" si="8"/>
        <v>0</v>
      </c>
      <c r="AI77" s="219">
        <f t="shared" si="0"/>
        <v>0</v>
      </c>
      <c r="AJ77" s="425">
        <f t="shared" si="21"/>
        <v>0</v>
      </c>
      <c r="AK77" s="57">
        <f aca="true" t="shared" si="24" ref="AK77:AK134">+AO76</f>
        <v>0</v>
      </c>
      <c r="AL77" s="90">
        <f aca="true" t="shared" si="25" ref="AL77:AL134">_xlfn.IFERROR(((AR77/360*AU77)/(1-(1+(AR77/360*AU77))^-AS77))*AK77,0)</f>
        <v>0</v>
      </c>
      <c r="AM77" s="58">
        <f aca="true" t="shared" si="26" ref="AM77:AM134">_xlfn.IFERROR(IF(AK77=0,0,AR77/360*AU77*AK77),0)</f>
        <v>0</v>
      </c>
      <c r="AN77" s="57">
        <f aca="true" t="shared" si="27" ref="AN77:AN134">+AL77-AM77</f>
        <v>0</v>
      </c>
      <c r="AO77" s="432">
        <f aca="true" t="shared" si="28" ref="AO77:AO134">+AK77-AN77</f>
        <v>0</v>
      </c>
      <c r="AP77" s="90">
        <f>_xlfn.IFERROR(IF(Simulador!$U$30=1,0,IF($AK77&lt;=0,0,$AK77*Simulador!$AA$43)),0)+_xlfn.IFERROR(IF(Simulador!$U$30=1,0,IF($AK77&lt;=0,0,IF(Simulador!$D$22&gt;0,Simulador!$D$22,Simulador!$O$24)*Simulador!$AA$44)),0)</f>
        <v>0</v>
      </c>
      <c r="AQ77" s="90">
        <f t="shared" si="10"/>
        <v>0</v>
      </c>
      <c r="AR77" s="26">
        <f t="shared" si="16"/>
        <v>0</v>
      </c>
      <c r="AS77">
        <f t="shared" si="11"/>
        <v>0</v>
      </c>
      <c r="AT77" s="549">
        <f t="shared" si="17"/>
      </c>
      <c r="AU77" s="404">
        <f t="shared" si="12"/>
        <v>0</v>
      </c>
      <c r="AV77" s="52">
        <v>63</v>
      </c>
      <c r="AW77" s="27"/>
      <c r="AX77" s="90"/>
      <c r="AY77" s="90"/>
      <c r="AZ77" s="90"/>
    </row>
    <row r="78" spans="1:52" ht="12.75">
      <c r="A78" s="503">
        <v>64</v>
      </c>
      <c r="B78" s="89">
        <f t="shared" si="13"/>
        <v>0</v>
      </c>
      <c r="C78" s="89"/>
      <c r="D78" s="90">
        <f>IF(B78+F78-D77&lt;=0,B78+F78,IF(AND(OR(Simulador!$U$39=2,Simulador!$U$39=7),J77=0),_xlfn.IFERROR((((P78/360*AU78)/(1-(1+(P78/360*AU78))^-AS78))*B78)*(1+AA78),0),IF($AF$3=2,B78*AJ78,_xlfn.IFERROR((((P78/360*AU78)/(1-(1+(P78/360*AU78))^-AS78))*B78)*(1+AA78),0))))</f>
        <v>0</v>
      </c>
      <c r="E78" s="90"/>
      <c r="F78" s="90">
        <f t="shared" si="3"/>
        <v>0</v>
      </c>
      <c r="G78" s="90"/>
      <c r="H78" s="90">
        <f t="shared" si="14"/>
        <v>0</v>
      </c>
      <c r="I78" s="91"/>
      <c r="J78" s="92"/>
      <c r="K78" s="91"/>
      <c r="L78" s="90">
        <f>IF(Simulador!$T$41=1,0,J78*Simulador!$W$39*1.16)</f>
        <v>0</v>
      </c>
      <c r="M78" s="90"/>
      <c r="N78" s="93">
        <f>IF(B78-H78=0,0,N76)</f>
        <v>0</v>
      </c>
      <c r="O78" s="12"/>
      <c r="P78" s="544">
        <f t="shared" si="15"/>
        <v>0</v>
      </c>
      <c r="Q78" s="4"/>
      <c r="R78" s="90">
        <f t="shared" si="22"/>
        <v>0</v>
      </c>
      <c r="S78" s="90"/>
      <c r="T78" s="90">
        <f>_xlfn.IFERROR(IF(Simulador!$U$30=1,0,IF($B78&lt;=0,0,$B78*Simulador!$AA$43)),0)</f>
        <v>0</v>
      </c>
      <c r="U78" s="90"/>
      <c r="V78" s="90">
        <f>_xlfn.IFERROR(IF(Simulador!$U$30=1,0,IF($B78&lt;=0,0,IF(Simulador!$D$22&gt;0,Simulador!$D$22,Simulador!$O$24)*Simulador!$AA$44)),0)</f>
        <v>0</v>
      </c>
      <c r="W78" s="90"/>
      <c r="X78" s="90"/>
      <c r="Y78" s="90">
        <f t="shared" si="5"/>
        <v>0</v>
      </c>
      <c r="Z78" s="13"/>
      <c r="AA78" s="18"/>
      <c r="AB78" s="23"/>
      <c r="AC78" s="364"/>
      <c r="AD78" s="222">
        <v>5</v>
      </c>
      <c r="AE78" s="219">
        <v>4</v>
      </c>
      <c r="AF78" s="269">
        <f t="shared" si="6"/>
        <v>0</v>
      </c>
      <c r="AG78" s="209">
        <f t="shared" si="7"/>
        <v>0</v>
      </c>
      <c r="AH78" s="209">
        <f t="shared" si="8"/>
        <v>0</v>
      </c>
      <c r="AI78" s="219">
        <f t="shared" si="0"/>
        <v>0</v>
      </c>
      <c r="AJ78" s="425">
        <f t="shared" si="21"/>
        <v>0</v>
      </c>
      <c r="AK78" s="57">
        <f t="shared" si="24"/>
        <v>0</v>
      </c>
      <c r="AL78" s="90">
        <f t="shared" si="25"/>
        <v>0</v>
      </c>
      <c r="AM78" s="58">
        <f t="shared" si="26"/>
        <v>0</v>
      </c>
      <c r="AN78" s="57">
        <f t="shared" si="27"/>
        <v>0</v>
      </c>
      <c r="AO78" s="432">
        <f t="shared" si="28"/>
        <v>0</v>
      </c>
      <c r="AP78" s="90">
        <f>_xlfn.IFERROR(IF(Simulador!$U$30=1,0,IF($AK78&lt;=0,0,$AK78*Simulador!$AA$43)),0)+_xlfn.IFERROR(IF(Simulador!$U$30=1,0,IF($AK78&lt;=0,0,IF(Simulador!$D$22&gt;0,Simulador!$D$22,Simulador!$O$24)*Simulador!$AA$44)),0)</f>
        <v>0</v>
      </c>
      <c r="AQ78" s="90">
        <f t="shared" si="10"/>
        <v>0</v>
      </c>
      <c r="AR78" s="26">
        <f t="shared" si="16"/>
        <v>0</v>
      </c>
      <c r="AS78">
        <f t="shared" si="11"/>
        <v>0</v>
      </c>
      <c r="AT78" s="549">
        <f t="shared" si="17"/>
      </c>
      <c r="AU78" s="404">
        <f t="shared" si="12"/>
        <v>0</v>
      </c>
      <c r="AV78" s="52">
        <v>64</v>
      </c>
      <c r="AW78" s="27"/>
      <c r="AX78" s="90"/>
      <c r="AY78" s="90"/>
      <c r="AZ78" s="90"/>
    </row>
    <row r="79" spans="1:52" ht="12.75">
      <c r="A79" s="503">
        <v>65</v>
      </c>
      <c r="B79" s="89">
        <f t="shared" si="13"/>
        <v>0</v>
      </c>
      <c r="C79" s="89"/>
      <c r="D79" s="90">
        <f>IF(B79+F79-D78&lt;=0,B79+F79,IF(AND(OR(Simulador!$U$39=2,Simulador!$U$39=7),J78=0),_xlfn.IFERROR((((P79/360*AU79)/(1-(1+(P79/360*AU79))^-AS79))*B79)*(1+AA79),0),IF($AF$3=2,B79*AJ79,_xlfn.IFERROR((((P79/360*AU79)/(1-(1+(P79/360*AU79))^-AS79))*B79)*(1+AA79),0))))</f>
        <v>0</v>
      </c>
      <c r="E79" s="90"/>
      <c r="F79" s="90">
        <f t="shared" si="3"/>
        <v>0</v>
      </c>
      <c r="G79" s="90"/>
      <c r="H79" s="90">
        <f t="shared" si="14"/>
        <v>0</v>
      </c>
      <c r="I79" s="91"/>
      <c r="J79" s="92"/>
      <c r="K79" s="91"/>
      <c r="L79" s="90">
        <f>IF(Simulador!$T$41=1,0,J79*Simulador!$W$39*1.16)</f>
        <v>0</v>
      </c>
      <c r="M79" s="90"/>
      <c r="N79" s="94"/>
      <c r="O79" s="12"/>
      <c r="P79" s="544">
        <f t="shared" si="15"/>
        <v>0</v>
      </c>
      <c r="Q79" s="4"/>
      <c r="R79" s="90">
        <f t="shared" si="22"/>
        <v>0</v>
      </c>
      <c r="S79" s="90"/>
      <c r="T79" s="90">
        <f>_xlfn.IFERROR(IF(Simulador!$U$30=1,0,IF($B79&lt;=0,0,$B79*Simulador!$AA$43)),0)</f>
        <v>0</v>
      </c>
      <c r="U79" s="90"/>
      <c r="V79" s="90">
        <f>_xlfn.IFERROR(IF(Simulador!$U$30=1,0,IF($B79&lt;=0,0,IF(Simulador!$D$22&gt;0,Simulador!$D$22,Simulador!$O$24)*Simulador!$AA$44)),0)</f>
        <v>0</v>
      </c>
      <c r="W79" s="90"/>
      <c r="X79" s="90"/>
      <c r="Y79" s="90">
        <f aca="true" t="shared" si="29" ref="Y79:Y134">IF(B79&lt;=0,0,D79+J79+T79+V79)</f>
        <v>0</v>
      </c>
      <c r="Z79" s="13"/>
      <c r="AA79" s="18"/>
      <c r="AB79" s="23"/>
      <c r="AC79" s="364"/>
      <c r="AD79" s="222">
        <v>5</v>
      </c>
      <c r="AE79" s="219">
        <v>5</v>
      </c>
      <c r="AF79" s="269">
        <f t="shared" si="6"/>
        <v>0</v>
      </c>
      <c r="AG79" s="209">
        <f t="shared" si="7"/>
        <v>0</v>
      </c>
      <c r="AH79" s="209">
        <f t="shared" si="8"/>
        <v>0</v>
      </c>
      <c r="AI79" s="219">
        <f aca="true" t="shared" si="30" ref="AI79:AI134">Y79</f>
        <v>0</v>
      </c>
      <c r="AJ79" s="425">
        <f t="shared" si="21"/>
        <v>0</v>
      </c>
      <c r="AK79" s="57">
        <f t="shared" si="24"/>
        <v>0</v>
      </c>
      <c r="AL79" s="90">
        <f t="shared" si="25"/>
        <v>0</v>
      </c>
      <c r="AM79" s="58">
        <f t="shared" si="26"/>
        <v>0</v>
      </c>
      <c r="AN79" s="57">
        <f t="shared" si="27"/>
        <v>0</v>
      </c>
      <c r="AO79" s="432">
        <f t="shared" si="28"/>
        <v>0</v>
      </c>
      <c r="AP79" s="90">
        <f>_xlfn.IFERROR(IF(Simulador!$U$30=1,0,IF($AK79&lt;=0,0,$AK79*Simulador!$AA$43)),0)+_xlfn.IFERROR(IF(Simulador!$U$30=1,0,IF($AK79&lt;=0,0,IF(Simulador!$D$22&gt;0,Simulador!$D$22,Simulador!$O$24)*Simulador!$AA$44)),0)</f>
        <v>0</v>
      </c>
      <c r="AQ79" s="90">
        <f aca="true" t="shared" si="31" ref="AQ79:AQ134">AL79+AP79</f>
        <v>0</v>
      </c>
      <c r="AR79" s="26">
        <f t="shared" si="16"/>
        <v>0</v>
      </c>
      <c r="AS79">
        <f t="shared" si="11"/>
        <v>0</v>
      </c>
      <c r="AT79" s="549">
        <f t="shared" si="17"/>
      </c>
      <c r="AU79" s="404">
        <f t="shared" si="12"/>
        <v>0</v>
      </c>
      <c r="AV79" s="52">
        <v>65</v>
      </c>
      <c r="AW79" s="27"/>
      <c r="AX79" s="90"/>
      <c r="AY79" s="90"/>
      <c r="AZ79" s="90"/>
    </row>
    <row r="80" spans="1:52" ht="12.75">
      <c r="A80" s="503">
        <v>66</v>
      </c>
      <c r="B80" s="89">
        <f t="shared" si="13"/>
        <v>0</v>
      </c>
      <c r="C80" s="89"/>
      <c r="D80" s="90">
        <f>IF(B80+F80-D79&lt;=0,B80+F80,IF(AND(OR(Simulador!$U$39=2,Simulador!$U$39=7),J79=0),_xlfn.IFERROR((((P80/360*AU80)/(1-(1+(P80/360*AU80))^-AS80))*B80)*(1+AA80),0),IF($AF$3=2,B80*AJ80,_xlfn.IFERROR((((P80/360*AU80)/(1-(1+(P80/360*AU80))^-AS80))*B80)*(1+AA80),0))))</f>
        <v>0</v>
      </c>
      <c r="E80" s="90"/>
      <c r="F80" s="90">
        <f aca="true" t="shared" si="32" ref="F80:F134">_xlfn.IFERROR(IF(B80=0,0,P80/360*AU80*B80),0)</f>
        <v>0</v>
      </c>
      <c r="G80" s="90"/>
      <c r="H80" s="90">
        <f t="shared" si="14"/>
        <v>0</v>
      </c>
      <c r="I80" s="91"/>
      <c r="J80" s="92"/>
      <c r="K80" s="91"/>
      <c r="L80" s="90">
        <f>IF(Simulador!$T$41=1,0,J80*Simulador!$W$39*1.16)</f>
        <v>0</v>
      </c>
      <c r="M80" s="90"/>
      <c r="N80" s="93">
        <f>IF(B80-H80=0,0,N78)</f>
        <v>0</v>
      </c>
      <c r="O80" s="12"/>
      <c r="P80" s="544">
        <f t="shared" si="15"/>
        <v>0</v>
      </c>
      <c r="Q80" s="4"/>
      <c r="R80" s="90">
        <f aca="true" t="shared" si="33" ref="R80:R134">B80-H80-J80+L80-N80</f>
        <v>0</v>
      </c>
      <c r="S80" s="90"/>
      <c r="T80" s="90">
        <f>_xlfn.IFERROR(IF(Simulador!$U$30=1,0,IF($B80&lt;=0,0,$B80*Simulador!$AA$43)),0)</f>
        <v>0</v>
      </c>
      <c r="U80" s="90"/>
      <c r="V80" s="90">
        <f>_xlfn.IFERROR(IF(Simulador!$U$30=1,0,IF($B80&lt;=0,0,IF(Simulador!$D$22&gt;0,Simulador!$D$22,Simulador!$O$24)*Simulador!$AA$44)),0)</f>
        <v>0</v>
      </c>
      <c r="W80" s="90"/>
      <c r="X80" s="90"/>
      <c r="Y80" s="90">
        <f t="shared" si="29"/>
        <v>0</v>
      </c>
      <c r="Z80" s="13"/>
      <c r="AA80" s="18"/>
      <c r="AB80" s="23"/>
      <c r="AC80" s="364"/>
      <c r="AD80" s="222">
        <v>5</v>
      </c>
      <c r="AE80" s="219">
        <v>6</v>
      </c>
      <c r="AF80" s="269">
        <f aca="true" t="shared" si="34" ref="AF80:AF134">IF(R80&lt;=0.01,IF(R79&gt;0.01,A80,0),0)</f>
        <v>0</v>
      </c>
      <c r="AG80" s="209">
        <f aca="true" t="shared" si="35" ref="AG80:AG134">IF(AF80&gt;0,AD80,0)</f>
        <v>0</v>
      </c>
      <c r="AH80" s="209">
        <f aca="true" t="shared" si="36" ref="AH80:AH134">IF(AF80&gt;0,AE80,0)</f>
        <v>0</v>
      </c>
      <c r="AI80" s="219">
        <f t="shared" si="30"/>
        <v>0</v>
      </c>
      <c r="AJ80" s="425">
        <f aca="true" t="shared" si="37" ref="AJ80:AJ133">_xlfn.IFERROR((AL80/AK80),0)</f>
        <v>0</v>
      </c>
      <c r="AK80" s="57">
        <f t="shared" si="24"/>
        <v>0</v>
      </c>
      <c r="AL80" s="90">
        <f t="shared" si="25"/>
        <v>0</v>
      </c>
      <c r="AM80" s="58">
        <f t="shared" si="26"/>
        <v>0</v>
      </c>
      <c r="AN80" s="57">
        <f t="shared" si="27"/>
        <v>0</v>
      </c>
      <c r="AO80" s="432">
        <f t="shared" si="28"/>
        <v>0</v>
      </c>
      <c r="AP80" s="90">
        <f>_xlfn.IFERROR(IF(Simulador!$U$30=1,0,IF($AK80&lt;=0,0,$AK80*Simulador!$AA$43)),0)+_xlfn.IFERROR(IF(Simulador!$U$30=1,0,IF($AK80&lt;=0,0,IF(Simulador!$D$22&gt;0,Simulador!$D$22,Simulador!$O$24)*Simulador!$AA$44)),0)</f>
        <v>0</v>
      </c>
      <c r="AQ80" s="90">
        <f t="shared" si="31"/>
        <v>0</v>
      </c>
      <c r="AR80" s="26">
        <f t="shared" si="16"/>
        <v>0</v>
      </c>
      <c r="AS80">
        <f aca="true" t="shared" si="38" ref="AS80:AS134">_xlfn.IFERROR(IF(AK80&lt;=0.01,0,AS79-1),0)</f>
        <v>0</v>
      </c>
      <c r="AT80" s="549">
        <f t="shared" si="17"/>
      </c>
      <c r="AU80" s="404">
        <f aca="true" t="shared" si="39" ref="AU80:AU134">_xlfn.IFERROR(DAY(DATE(YEAR(AT80),MONTH(AT80)+1,0)),0)</f>
        <v>0</v>
      </c>
      <c r="AV80" s="52">
        <v>66</v>
      </c>
      <c r="AW80" s="27"/>
      <c r="AX80" s="90"/>
      <c r="AY80" s="90"/>
      <c r="AZ80" s="90"/>
    </row>
    <row r="81" spans="1:52" ht="12.75">
      <c r="A81" s="503">
        <v>67</v>
      </c>
      <c r="B81" s="89">
        <f aca="true" t="shared" si="40" ref="B81:B133">IF(R80&lt;=0.01,0,R80)</f>
        <v>0</v>
      </c>
      <c r="C81" s="89"/>
      <c r="D81" s="90">
        <f>IF(B81+F81-D80&lt;=0,B81+F81,IF(AND(OR(Simulador!$U$39=2,Simulador!$U$39=7),J80=0),_xlfn.IFERROR((((P81/360*AU81)/(1-(1+(P81/360*AU81))^-AS81))*B81)*(1+AA81),0),IF($AF$3=2,B81*AJ81,_xlfn.IFERROR((((P81/360*AU81)/(1-(1+(P81/360*AU81))^-AS81))*B81)*(1+AA81),0))))</f>
        <v>0</v>
      </c>
      <c r="E81" s="90"/>
      <c r="F81" s="90">
        <f t="shared" si="32"/>
        <v>0</v>
      </c>
      <c r="G81" s="90"/>
      <c r="H81" s="90">
        <f aca="true" t="shared" si="41" ref="H81:H133">D81-F81</f>
        <v>0</v>
      </c>
      <c r="I81" s="91"/>
      <c r="J81" s="92"/>
      <c r="K81" s="91"/>
      <c r="L81" s="90">
        <f>IF(Simulador!$T$41=1,0,J81*Simulador!$W$39*1.16)</f>
        <v>0</v>
      </c>
      <c r="M81" s="90"/>
      <c r="N81" s="94"/>
      <c r="O81" s="12"/>
      <c r="P81" s="544">
        <f aca="true" t="shared" si="42" ref="P81:P134">_xlfn.IFERROR(IF(B81=0,0,P80),0)</f>
        <v>0</v>
      </c>
      <c r="Q81" s="4"/>
      <c r="R81" s="90">
        <f t="shared" si="33"/>
        <v>0</v>
      </c>
      <c r="S81" s="90"/>
      <c r="T81" s="90">
        <f>_xlfn.IFERROR(IF(Simulador!$U$30=1,0,IF($B81&lt;=0,0,$B81*Simulador!$AA$43)),0)</f>
        <v>0</v>
      </c>
      <c r="U81" s="90"/>
      <c r="V81" s="90">
        <f>_xlfn.IFERROR(IF(Simulador!$U$30=1,0,IF($B81&lt;=0,0,IF(Simulador!$D$22&gt;0,Simulador!$D$22,Simulador!$O$24)*Simulador!$AA$44)),0)</f>
        <v>0</v>
      </c>
      <c r="W81" s="90"/>
      <c r="X81" s="90"/>
      <c r="Y81" s="90">
        <f t="shared" si="29"/>
        <v>0</v>
      </c>
      <c r="Z81" s="13"/>
      <c r="AA81" s="18"/>
      <c r="AB81" s="23"/>
      <c r="AC81" s="364"/>
      <c r="AD81" s="222">
        <v>5</v>
      </c>
      <c r="AE81" s="219">
        <v>7</v>
      </c>
      <c r="AF81" s="269">
        <f t="shared" si="34"/>
        <v>0</v>
      </c>
      <c r="AG81" s="209">
        <f t="shared" si="35"/>
        <v>0</v>
      </c>
      <c r="AH81" s="209">
        <f t="shared" si="36"/>
        <v>0</v>
      </c>
      <c r="AI81" s="219">
        <f t="shared" si="30"/>
        <v>0</v>
      </c>
      <c r="AJ81" s="425">
        <f t="shared" si="37"/>
        <v>0</v>
      </c>
      <c r="AK81" s="57">
        <f t="shared" si="24"/>
        <v>0</v>
      </c>
      <c r="AL81" s="90">
        <f t="shared" si="25"/>
        <v>0</v>
      </c>
      <c r="AM81" s="58">
        <f t="shared" si="26"/>
        <v>0</v>
      </c>
      <c r="AN81" s="57">
        <f t="shared" si="27"/>
        <v>0</v>
      </c>
      <c r="AO81" s="432">
        <f t="shared" si="28"/>
        <v>0</v>
      </c>
      <c r="AP81" s="90">
        <f>_xlfn.IFERROR(IF(Simulador!$U$30=1,0,IF($AK81&lt;=0,0,$AK81*Simulador!$AA$43)),0)+_xlfn.IFERROR(IF(Simulador!$U$30=1,0,IF($AK81&lt;=0,0,IF(Simulador!$D$22&gt;0,Simulador!$D$22,Simulador!$O$24)*Simulador!$AA$44)),0)</f>
        <v>0</v>
      </c>
      <c r="AQ81" s="90">
        <f t="shared" si="31"/>
        <v>0</v>
      </c>
      <c r="AR81" s="26">
        <f aca="true" t="shared" si="43" ref="AR81:AR134">_xlfn.IFERROR(IF(AK81=0,0,AR80),0)</f>
        <v>0</v>
      </c>
      <c r="AS81">
        <f t="shared" si="38"/>
        <v>0</v>
      </c>
      <c r="AT81" s="549">
        <f aca="true" t="shared" si="44" ref="AT81:AT134">IF(AK81=0,"",DATE(YEAR(AT80),MONTH(AT80)+1,1))</f>
      </c>
      <c r="AU81" s="404">
        <f t="shared" si="39"/>
        <v>0</v>
      </c>
      <c r="AV81" s="52">
        <v>67</v>
      </c>
      <c r="AW81" s="27"/>
      <c r="AX81" s="90"/>
      <c r="AY81" s="90"/>
      <c r="AZ81" s="90"/>
    </row>
    <row r="82" spans="1:52" ht="12.75">
      <c r="A82" s="503">
        <v>68</v>
      </c>
      <c r="B82" s="89">
        <f t="shared" si="40"/>
        <v>0</v>
      </c>
      <c r="C82" s="89"/>
      <c r="D82" s="90">
        <f>IF(B82+F82-D81&lt;=0,B82+F82,IF(AND(OR(Simulador!$U$39=2,Simulador!$U$39=7),J81=0),_xlfn.IFERROR((((P82/360*AU82)/(1-(1+(P82/360*AU82))^-AS82))*B82)*(1+AA82),0),IF($AF$3=2,B82*AJ82,_xlfn.IFERROR((((P82/360*AU82)/(1-(1+(P82/360*AU82))^-AS82))*B82)*(1+AA82),0))))</f>
        <v>0</v>
      </c>
      <c r="E82" s="90"/>
      <c r="F82" s="90">
        <f t="shared" si="32"/>
        <v>0</v>
      </c>
      <c r="G82" s="90"/>
      <c r="H82" s="90">
        <f t="shared" si="41"/>
        <v>0</v>
      </c>
      <c r="I82" s="91"/>
      <c r="J82" s="92"/>
      <c r="K82" s="91"/>
      <c r="L82" s="90">
        <f>IF(Simulador!$T$41=1,0,J82*Simulador!$W$39*1.16)</f>
        <v>0</v>
      </c>
      <c r="M82" s="90"/>
      <c r="N82" s="93">
        <f>IF(B82-H82=0,0,N80)</f>
        <v>0</v>
      </c>
      <c r="O82" s="12"/>
      <c r="P82" s="544">
        <f t="shared" si="42"/>
        <v>0</v>
      </c>
      <c r="Q82" s="4"/>
      <c r="R82" s="90">
        <f t="shared" si="33"/>
        <v>0</v>
      </c>
      <c r="S82" s="90"/>
      <c r="T82" s="90">
        <f>_xlfn.IFERROR(IF(Simulador!$U$30=1,0,IF($B82&lt;=0,0,$B82*Simulador!$AA$43)),0)</f>
        <v>0</v>
      </c>
      <c r="U82" s="90"/>
      <c r="V82" s="90">
        <f>_xlfn.IFERROR(IF(Simulador!$U$30=1,0,IF($B82&lt;=0,0,IF(Simulador!$D$22&gt;0,Simulador!$D$22,Simulador!$O$24)*Simulador!$AA$44)),0)</f>
        <v>0</v>
      </c>
      <c r="W82" s="90"/>
      <c r="X82" s="90"/>
      <c r="Y82" s="90">
        <f t="shared" si="29"/>
        <v>0</v>
      </c>
      <c r="Z82" s="13"/>
      <c r="AA82" s="18"/>
      <c r="AB82" s="23"/>
      <c r="AC82" s="364"/>
      <c r="AD82" s="222">
        <v>5</v>
      </c>
      <c r="AE82" s="219">
        <v>8</v>
      </c>
      <c r="AF82" s="269">
        <f t="shared" si="34"/>
        <v>0</v>
      </c>
      <c r="AG82" s="209">
        <f t="shared" si="35"/>
        <v>0</v>
      </c>
      <c r="AH82" s="209">
        <f t="shared" si="36"/>
        <v>0</v>
      </c>
      <c r="AI82" s="219">
        <f t="shared" si="30"/>
        <v>0</v>
      </c>
      <c r="AJ82" s="425">
        <f t="shared" si="37"/>
        <v>0</v>
      </c>
      <c r="AK82" s="57">
        <f t="shared" si="24"/>
        <v>0</v>
      </c>
      <c r="AL82" s="90">
        <f t="shared" si="25"/>
        <v>0</v>
      </c>
      <c r="AM82" s="58">
        <f t="shared" si="26"/>
        <v>0</v>
      </c>
      <c r="AN82" s="57">
        <f t="shared" si="27"/>
        <v>0</v>
      </c>
      <c r="AO82" s="432">
        <f t="shared" si="28"/>
        <v>0</v>
      </c>
      <c r="AP82" s="90">
        <f>_xlfn.IFERROR(IF(Simulador!$U$30=1,0,IF($AK82&lt;=0,0,$AK82*Simulador!$AA$43)),0)+_xlfn.IFERROR(IF(Simulador!$U$30=1,0,IF($AK82&lt;=0,0,IF(Simulador!$D$22&gt;0,Simulador!$D$22,Simulador!$O$24)*Simulador!$AA$44)),0)</f>
        <v>0</v>
      </c>
      <c r="AQ82" s="90">
        <f t="shared" si="31"/>
        <v>0</v>
      </c>
      <c r="AR82" s="26">
        <f t="shared" si="43"/>
        <v>0</v>
      </c>
      <c r="AS82">
        <f t="shared" si="38"/>
        <v>0</v>
      </c>
      <c r="AT82" s="549">
        <f t="shared" si="44"/>
      </c>
      <c r="AU82" s="404">
        <f t="shared" si="39"/>
        <v>0</v>
      </c>
      <c r="AV82" s="52">
        <v>68</v>
      </c>
      <c r="AW82" s="27"/>
      <c r="AX82" s="90"/>
      <c r="AY82" s="90"/>
      <c r="AZ82" s="90"/>
    </row>
    <row r="83" spans="1:52" ht="12.75">
      <c r="A83" s="503">
        <v>69</v>
      </c>
      <c r="B83" s="89">
        <f t="shared" si="40"/>
        <v>0</v>
      </c>
      <c r="C83" s="89"/>
      <c r="D83" s="90">
        <f>IF(B83+F83-D82&lt;=0,B83+F83,IF(AND(OR(Simulador!$U$39=2,Simulador!$U$39=7),J82=0),_xlfn.IFERROR((((P83/360*AU83)/(1-(1+(P83/360*AU83))^-AS83))*B83)*(1+AA83),0),IF($AF$3=2,B83*AJ83,_xlfn.IFERROR((((P83/360*AU83)/(1-(1+(P83/360*AU83))^-AS83))*B83)*(1+AA83),0))))</f>
        <v>0</v>
      </c>
      <c r="E83" s="90"/>
      <c r="F83" s="90">
        <f t="shared" si="32"/>
        <v>0</v>
      </c>
      <c r="G83" s="90"/>
      <c r="H83" s="90">
        <f t="shared" si="41"/>
        <v>0</v>
      </c>
      <c r="I83" s="91"/>
      <c r="J83" s="92"/>
      <c r="K83" s="91"/>
      <c r="L83" s="90">
        <f>IF(Simulador!$T$41=1,0,J83*Simulador!$W$39*1.16)</f>
        <v>0</v>
      </c>
      <c r="M83" s="90"/>
      <c r="N83" s="94"/>
      <c r="O83" s="12"/>
      <c r="P83" s="544">
        <f t="shared" si="42"/>
        <v>0</v>
      </c>
      <c r="Q83" s="4"/>
      <c r="R83" s="90">
        <f t="shared" si="33"/>
        <v>0</v>
      </c>
      <c r="S83" s="90"/>
      <c r="T83" s="90">
        <f>_xlfn.IFERROR(IF(Simulador!$U$30=1,0,IF($B83&lt;=0,0,$B83*Simulador!$AA$43)),0)</f>
        <v>0</v>
      </c>
      <c r="U83" s="90"/>
      <c r="V83" s="90">
        <f>_xlfn.IFERROR(IF(Simulador!$U$30=1,0,IF($B83&lt;=0,0,IF(Simulador!$D$22&gt;0,Simulador!$D$22,Simulador!$O$24)*Simulador!$AA$44)),0)</f>
        <v>0</v>
      </c>
      <c r="W83" s="90"/>
      <c r="X83" s="90"/>
      <c r="Y83" s="90">
        <f t="shared" si="29"/>
        <v>0</v>
      </c>
      <c r="Z83" s="13"/>
      <c r="AA83" s="18"/>
      <c r="AB83" s="23"/>
      <c r="AC83" s="364"/>
      <c r="AD83" s="222">
        <v>5</v>
      </c>
      <c r="AE83" s="221">
        <v>9</v>
      </c>
      <c r="AF83" s="269">
        <f t="shared" si="34"/>
        <v>0</v>
      </c>
      <c r="AG83" s="209">
        <f t="shared" si="35"/>
        <v>0</v>
      </c>
      <c r="AH83" s="209">
        <f t="shared" si="36"/>
        <v>0</v>
      </c>
      <c r="AI83" s="219">
        <f t="shared" si="30"/>
        <v>0</v>
      </c>
      <c r="AJ83" s="425">
        <f t="shared" si="37"/>
        <v>0</v>
      </c>
      <c r="AK83" s="57">
        <f t="shared" si="24"/>
        <v>0</v>
      </c>
      <c r="AL83" s="90">
        <f t="shared" si="25"/>
        <v>0</v>
      </c>
      <c r="AM83" s="58">
        <f t="shared" si="26"/>
        <v>0</v>
      </c>
      <c r="AN83" s="57">
        <f t="shared" si="27"/>
        <v>0</v>
      </c>
      <c r="AO83" s="432">
        <f t="shared" si="28"/>
        <v>0</v>
      </c>
      <c r="AP83" s="90">
        <f>_xlfn.IFERROR(IF(Simulador!$U$30=1,0,IF($AK83&lt;=0,0,$AK83*Simulador!$AA$43)),0)+_xlfn.IFERROR(IF(Simulador!$U$30=1,0,IF($AK83&lt;=0,0,IF(Simulador!$D$22&gt;0,Simulador!$D$22,Simulador!$O$24)*Simulador!$AA$44)),0)</f>
        <v>0</v>
      </c>
      <c r="AQ83" s="90">
        <f t="shared" si="31"/>
        <v>0</v>
      </c>
      <c r="AR83" s="26">
        <f t="shared" si="43"/>
        <v>0</v>
      </c>
      <c r="AS83">
        <f t="shared" si="38"/>
        <v>0</v>
      </c>
      <c r="AT83" s="549">
        <f t="shared" si="44"/>
      </c>
      <c r="AU83" s="404">
        <f t="shared" si="39"/>
        <v>0</v>
      </c>
      <c r="AV83" s="52">
        <v>69</v>
      </c>
      <c r="AW83" s="27"/>
      <c r="AX83" s="90"/>
      <c r="AY83" s="90"/>
      <c r="AZ83" s="90"/>
    </row>
    <row r="84" spans="1:52" ht="12.75">
      <c r="A84" s="503">
        <v>70</v>
      </c>
      <c r="B84" s="89">
        <f t="shared" si="40"/>
        <v>0</v>
      </c>
      <c r="C84" s="89"/>
      <c r="D84" s="90">
        <f>IF(B84+F84-D83&lt;=0,B84+F84,IF(AND(OR(Simulador!$U$39=2,Simulador!$U$39=7),J83=0),_xlfn.IFERROR((((P84/360*AU84)/(1-(1+(P84/360*AU84))^-AS84))*B84)*(1+AA84),0),IF($AF$3=2,B84*AJ84,_xlfn.IFERROR((((P84/360*AU84)/(1-(1+(P84/360*AU84))^-AS84))*B84)*(1+AA84),0))))</f>
        <v>0</v>
      </c>
      <c r="E84" s="90"/>
      <c r="F84" s="90">
        <f t="shared" si="32"/>
        <v>0</v>
      </c>
      <c r="G84" s="90"/>
      <c r="H84" s="90">
        <f t="shared" si="41"/>
        <v>0</v>
      </c>
      <c r="I84" s="91"/>
      <c r="J84" s="92"/>
      <c r="K84" s="91"/>
      <c r="L84" s="90">
        <f>IF(Simulador!$T$41=1,0,J84*Simulador!$W$39*1.16)</f>
        <v>0</v>
      </c>
      <c r="M84" s="90"/>
      <c r="N84" s="93">
        <f>IF(B84-H84=0,0,N82)</f>
        <v>0</v>
      </c>
      <c r="O84" s="12"/>
      <c r="P84" s="544">
        <f t="shared" si="42"/>
        <v>0</v>
      </c>
      <c r="Q84" s="4"/>
      <c r="R84" s="90">
        <f t="shared" si="33"/>
        <v>0</v>
      </c>
      <c r="S84" s="90"/>
      <c r="T84" s="90">
        <f>_xlfn.IFERROR(IF(Simulador!$U$30=1,0,IF($B84&lt;=0,0,$B84*Simulador!$AA$43)),0)</f>
        <v>0</v>
      </c>
      <c r="U84" s="90"/>
      <c r="V84" s="90">
        <f>_xlfn.IFERROR(IF(Simulador!$U$30=1,0,IF($B84&lt;=0,0,IF(Simulador!$D$22&gt;0,Simulador!$D$22,Simulador!$O$24)*Simulador!$AA$44)),0)</f>
        <v>0</v>
      </c>
      <c r="W84" s="90"/>
      <c r="X84" s="90"/>
      <c r="Y84" s="90">
        <f t="shared" si="29"/>
        <v>0</v>
      </c>
      <c r="Z84" s="13"/>
      <c r="AA84" s="18"/>
      <c r="AB84" s="23"/>
      <c r="AC84" s="364"/>
      <c r="AD84" s="222">
        <v>5</v>
      </c>
      <c r="AE84" s="221">
        <v>10</v>
      </c>
      <c r="AF84" s="269">
        <f t="shared" si="34"/>
        <v>0</v>
      </c>
      <c r="AG84" s="209">
        <f t="shared" si="35"/>
        <v>0</v>
      </c>
      <c r="AH84" s="209">
        <f t="shared" si="36"/>
        <v>0</v>
      </c>
      <c r="AI84" s="219">
        <f t="shared" si="30"/>
        <v>0</v>
      </c>
      <c r="AJ84" s="425">
        <f t="shared" si="37"/>
        <v>0</v>
      </c>
      <c r="AK84" s="57">
        <f t="shared" si="24"/>
        <v>0</v>
      </c>
      <c r="AL84" s="90">
        <f t="shared" si="25"/>
        <v>0</v>
      </c>
      <c r="AM84" s="58">
        <f t="shared" si="26"/>
        <v>0</v>
      </c>
      <c r="AN84" s="57">
        <f t="shared" si="27"/>
        <v>0</v>
      </c>
      <c r="AO84" s="432">
        <f t="shared" si="28"/>
        <v>0</v>
      </c>
      <c r="AP84" s="90">
        <f>_xlfn.IFERROR(IF(Simulador!$U$30=1,0,IF($AK84&lt;=0,0,$AK84*Simulador!$AA$43)),0)+_xlfn.IFERROR(IF(Simulador!$U$30=1,0,IF($AK84&lt;=0,0,IF(Simulador!$D$22&gt;0,Simulador!$D$22,Simulador!$O$24)*Simulador!$AA$44)),0)</f>
        <v>0</v>
      </c>
      <c r="AQ84" s="90">
        <f t="shared" si="31"/>
        <v>0</v>
      </c>
      <c r="AR84" s="26">
        <f t="shared" si="43"/>
        <v>0</v>
      </c>
      <c r="AS84">
        <f t="shared" si="38"/>
        <v>0</v>
      </c>
      <c r="AT84" s="549">
        <f t="shared" si="44"/>
      </c>
      <c r="AU84" s="404">
        <f t="shared" si="39"/>
        <v>0</v>
      </c>
      <c r="AV84" s="52">
        <v>70</v>
      </c>
      <c r="AW84" s="27"/>
      <c r="AX84" s="90"/>
      <c r="AY84" s="90"/>
      <c r="AZ84" s="90"/>
    </row>
    <row r="85" spans="1:52" ht="12.75">
      <c r="A85" s="503">
        <v>71</v>
      </c>
      <c r="B85" s="89">
        <f t="shared" si="40"/>
        <v>0</v>
      </c>
      <c r="C85" s="89"/>
      <c r="D85" s="90">
        <f>IF(B85+F85-D84&lt;=0,B85+F85,IF(AND(OR(Simulador!$U$39=2,Simulador!$U$39=7),J84=0),_xlfn.IFERROR((((P85/360*AU85)/(1-(1+(P85/360*AU85))^-AS85))*B85)*(1+AA85),0),IF($AF$3=2,B85*AJ85,_xlfn.IFERROR((((P85/360*AU85)/(1-(1+(P85/360*AU85))^-AS85))*B85)*(1+AA85),0))))</f>
        <v>0</v>
      </c>
      <c r="E85" s="90"/>
      <c r="F85" s="90">
        <f t="shared" si="32"/>
        <v>0</v>
      </c>
      <c r="G85" s="90"/>
      <c r="H85" s="90">
        <f t="shared" si="41"/>
        <v>0</v>
      </c>
      <c r="I85" s="91"/>
      <c r="J85" s="92"/>
      <c r="K85" s="91"/>
      <c r="L85" s="90">
        <f>IF(Simulador!$T$41=1,0,J85*Simulador!$W$39*1.16)</f>
        <v>0</v>
      </c>
      <c r="M85" s="90"/>
      <c r="N85" s="94"/>
      <c r="O85" s="12"/>
      <c r="P85" s="544">
        <f t="shared" si="42"/>
        <v>0</v>
      </c>
      <c r="Q85" s="4"/>
      <c r="R85" s="90">
        <f t="shared" si="33"/>
        <v>0</v>
      </c>
      <c r="S85" s="90"/>
      <c r="T85" s="90">
        <f>_xlfn.IFERROR(IF(Simulador!$U$30=1,0,IF($B85&lt;=0,0,$B85*Simulador!$AA$43)),0)</f>
        <v>0</v>
      </c>
      <c r="U85" s="90"/>
      <c r="V85" s="90">
        <f>_xlfn.IFERROR(IF(Simulador!$U$30=1,0,IF($B85&lt;=0,0,IF(Simulador!$D$22&gt;0,Simulador!$D$22,Simulador!$O$24)*Simulador!$AA$44)),0)</f>
        <v>0</v>
      </c>
      <c r="W85" s="90"/>
      <c r="X85" s="90"/>
      <c r="Y85" s="90">
        <f t="shared" si="29"/>
        <v>0</v>
      </c>
      <c r="Z85" s="13"/>
      <c r="AA85" s="18"/>
      <c r="AB85" s="23"/>
      <c r="AC85" s="364"/>
      <c r="AD85" s="222">
        <v>5</v>
      </c>
      <c r="AE85" s="219">
        <v>11</v>
      </c>
      <c r="AF85" s="269">
        <f t="shared" si="34"/>
        <v>0</v>
      </c>
      <c r="AG85" s="209">
        <f t="shared" si="35"/>
        <v>0</v>
      </c>
      <c r="AH85" s="209">
        <f t="shared" si="36"/>
        <v>0</v>
      </c>
      <c r="AI85" s="219">
        <f t="shared" si="30"/>
        <v>0</v>
      </c>
      <c r="AJ85" s="425">
        <f t="shared" si="37"/>
        <v>0</v>
      </c>
      <c r="AK85" s="57">
        <f t="shared" si="24"/>
        <v>0</v>
      </c>
      <c r="AL85" s="90">
        <f t="shared" si="25"/>
        <v>0</v>
      </c>
      <c r="AM85" s="58">
        <f t="shared" si="26"/>
        <v>0</v>
      </c>
      <c r="AN85" s="57">
        <f t="shared" si="27"/>
        <v>0</v>
      </c>
      <c r="AO85" s="432">
        <f t="shared" si="28"/>
        <v>0</v>
      </c>
      <c r="AP85" s="90">
        <f>_xlfn.IFERROR(IF(Simulador!$U$30=1,0,IF($AK85&lt;=0,0,$AK85*Simulador!$AA$43)),0)+_xlfn.IFERROR(IF(Simulador!$U$30=1,0,IF($AK85&lt;=0,0,IF(Simulador!$D$22&gt;0,Simulador!$D$22,Simulador!$O$24)*Simulador!$AA$44)),0)</f>
        <v>0</v>
      </c>
      <c r="AQ85" s="90">
        <f t="shared" si="31"/>
        <v>0</v>
      </c>
      <c r="AR85" s="26">
        <f t="shared" si="43"/>
        <v>0</v>
      </c>
      <c r="AS85">
        <f t="shared" si="38"/>
        <v>0</v>
      </c>
      <c r="AT85" s="549">
        <f t="shared" si="44"/>
      </c>
      <c r="AU85" s="404">
        <f t="shared" si="39"/>
        <v>0</v>
      </c>
      <c r="AV85" s="52">
        <v>71</v>
      </c>
      <c r="AW85" s="27"/>
      <c r="AX85" s="90"/>
      <c r="AY85" s="90"/>
      <c r="AZ85" s="90"/>
    </row>
    <row r="86" spans="1:52" ht="12.75">
      <c r="A86" s="503">
        <v>72</v>
      </c>
      <c r="B86" s="89">
        <f t="shared" si="40"/>
        <v>0</v>
      </c>
      <c r="C86" s="89"/>
      <c r="D86" s="90">
        <f>IF(B86+F86-D85&lt;=0,B86+F86,IF(AND(OR(Simulador!$U$39=2,Simulador!$U$39=7),J85=0),_xlfn.IFERROR((((P86/360*AU86)/(1-(1+(P86/360*AU86))^-AS86))*B86)*(1+AA86),0),IF($AF$3=2,B86*AJ86,_xlfn.IFERROR((((P86/360*AU86)/(1-(1+(P86/360*AU86))^-AS86))*B86)*(1+AA86),0))))</f>
        <v>0</v>
      </c>
      <c r="E86" s="90"/>
      <c r="F86" s="90">
        <f t="shared" si="32"/>
        <v>0</v>
      </c>
      <c r="G86" s="90"/>
      <c r="H86" s="90">
        <f t="shared" si="41"/>
        <v>0</v>
      </c>
      <c r="I86" s="91"/>
      <c r="J86" s="92"/>
      <c r="K86" s="91"/>
      <c r="L86" s="90">
        <f>IF(Simulador!$T$41=1,0,J86*Simulador!$W$39*1.16)</f>
        <v>0</v>
      </c>
      <c r="M86" s="90"/>
      <c r="N86" s="93">
        <f>IF(B86-H86=0,0,N84)</f>
        <v>0</v>
      </c>
      <c r="O86" s="12"/>
      <c r="P86" s="544">
        <f t="shared" si="42"/>
        <v>0</v>
      </c>
      <c r="Q86" s="4"/>
      <c r="R86" s="90">
        <f t="shared" si="33"/>
        <v>0</v>
      </c>
      <c r="S86" s="90"/>
      <c r="T86" s="90">
        <f>_xlfn.IFERROR(IF(Simulador!$U$30=1,0,IF($B86&lt;=0,0,$B86*Simulador!$AA$43)),0)</f>
        <v>0</v>
      </c>
      <c r="U86" s="90"/>
      <c r="V86" s="90">
        <f>_xlfn.IFERROR(IF(Simulador!$U$30=1,0,IF($B86&lt;=0,0,IF(Simulador!$D$22&gt;0,Simulador!$D$22,Simulador!$O$24)*Simulador!$AA$44)),0)</f>
        <v>0</v>
      </c>
      <c r="W86" s="90"/>
      <c r="X86" s="90"/>
      <c r="Y86" s="90">
        <f t="shared" si="29"/>
        <v>0</v>
      </c>
      <c r="Z86" s="13"/>
      <c r="AA86" s="18"/>
      <c r="AB86" s="23"/>
      <c r="AC86" s="364"/>
      <c r="AD86" s="222">
        <v>6</v>
      </c>
      <c r="AE86" s="219">
        <v>0</v>
      </c>
      <c r="AF86" s="269">
        <f t="shared" si="34"/>
        <v>0</v>
      </c>
      <c r="AG86" s="209">
        <f t="shared" si="35"/>
        <v>0</v>
      </c>
      <c r="AH86" s="209">
        <f t="shared" si="36"/>
        <v>0</v>
      </c>
      <c r="AI86" s="219">
        <f t="shared" si="30"/>
        <v>0</v>
      </c>
      <c r="AJ86" s="425">
        <f t="shared" si="37"/>
        <v>0</v>
      </c>
      <c r="AK86" s="57">
        <f t="shared" si="24"/>
        <v>0</v>
      </c>
      <c r="AL86" s="90">
        <f t="shared" si="25"/>
        <v>0</v>
      </c>
      <c r="AM86" s="58">
        <f t="shared" si="26"/>
        <v>0</v>
      </c>
      <c r="AN86" s="57">
        <f t="shared" si="27"/>
        <v>0</v>
      </c>
      <c r="AO86" s="432">
        <f t="shared" si="28"/>
        <v>0</v>
      </c>
      <c r="AP86" s="90">
        <f>_xlfn.IFERROR(IF(Simulador!$U$30=1,0,IF($AK86&lt;=0,0,$AK86*Simulador!$AA$43)),0)+_xlfn.IFERROR(IF(Simulador!$U$30=1,0,IF($AK86&lt;=0,0,IF(Simulador!$D$22&gt;0,Simulador!$D$22,Simulador!$O$24)*Simulador!$AA$44)),0)</f>
        <v>0</v>
      </c>
      <c r="AQ86" s="90">
        <f t="shared" si="31"/>
        <v>0</v>
      </c>
      <c r="AR86" s="26">
        <f t="shared" si="43"/>
        <v>0</v>
      </c>
      <c r="AS86">
        <f t="shared" si="38"/>
        <v>0</v>
      </c>
      <c r="AT86" s="549">
        <f t="shared" si="44"/>
      </c>
      <c r="AU86" s="404">
        <f t="shared" si="39"/>
        <v>0</v>
      </c>
      <c r="AV86" s="52">
        <v>72</v>
      </c>
      <c r="AW86" s="27"/>
      <c r="AX86" s="90"/>
      <c r="AY86" s="90"/>
      <c r="AZ86" s="90"/>
    </row>
    <row r="87" spans="1:52" ht="12.75">
      <c r="A87" s="503">
        <v>73</v>
      </c>
      <c r="B87" s="89">
        <f t="shared" si="40"/>
        <v>0</v>
      </c>
      <c r="C87" s="89"/>
      <c r="D87" s="90">
        <f>IF(B87+F87-D86&lt;=0,B87+F87,IF(AND(OR(Simulador!$U$39=2,Simulador!$U$39=7),J86=0),_xlfn.IFERROR((((P87/360*AU87)/(1-(1+(P87/360*AU87))^-AS87))*B87)*(1+AA87),0),IF($AF$3=2,B87*AJ87,_xlfn.IFERROR((((P87/360*AU87)/(1-(1+(P87/360*AU87))^-AS87))*B87)*(1+AA87),0))))</f>
        <v>0</v>
      </c>
      <c r="E87" s="90"/>
      <c r="F87" s="90">
        <f t="shared" si="32"/>
        <v>0</v>
      </c>
      <c r="G87" s="90"/>
      <c r="H87" s="90">
        <f t="shared" si="41"/>
        <v>0</v>
      </c>
      <c r="I87" s="91"/>
      <c r="J87" s="92"/>
      <c r="K87" s="91"/>
      <c r="L87" s="90">
        <f>IF(Simulador!$T$41=1,0,J87*Simulador!$W$39*1.16)</f>
        <v>0</v>
      </c>
      <c r="M87" s="90"/>
      <c r="N87" s="94"/>
      <c r="O87" s="12"/>
      <c r="P87" s="544">
        <f t="shared" si="42"/>
        <v>0</v>
      </c>
      <c r="Q87" s="4"/>
      <c r="R87" s="90">
        <f t="shared" si="33"/>
        <v>0</v>
      </c>
      <c r="S87" s="90"/>
      <c r="T87" s="90">
        <f>_xlfn.IFERROR(IF(Simulador!$U$30=1,0,IF($B87&lt;=0,0,$B87*Simulador!$AA$43)),0)</f>
        <v>0</v>
      </c>
      <c r="U87" s="90"/>
      <c r="V87" s="90">
        <f>_xlfn.IFERROR(IF(Simulador!$U$30=1,0,IF($B87&lt;=0,0,IF(Simulador!$D$22&gt;0,Simulador!$D$22,Simulador!$O$24)*Simulador!$AA$44)),0)</f>
        <v>0</v>
      </c>
      <c r="W87" s="90"/>
      <c r="X87" s="90"/>
      <c r="Y87" s="90">
        <f t="shared" si="29"/>
        <v>0</v>
      </c>
      <c r="Z87" s="13"/>
      <c r="AA87" s="18">
        <f>IF(B87&lt;=0,0,Simulador!$I$45)</f>
        <v>0</v>
      </c>
      <c r="AB87" s="23"/>
      <c r="AC87" s="364"/>
      <c r="AD87" s="222">
        <v>6</v>
      </c>
      <c r="AE87" s="219">
        <v>1</v>
      </c>
      <c r="AF87" s="269">
        <f t="shared" si="34"/>
        <v>0</v>
      </c>
      <c r="AG87" s="209">
        <f t="shared" si="35"/>
        <v>0</v>
      </c>
      <c r="AH87" s="209">
        <f t="shared" si="36"/>
        <v>0</v>
      </c>
      <c r="AI87" s="219">
        <f t="shared" si="30"/>
        <v>0</v>
      </c>
      <c r="AJ87" s="425">
        <f t="shared" si="37"/>
        <v>0</v>
      </c>
      <c r="AK87" s="57">
        <f t="shared" si="24"/>
        <v>0</v>
      </c>
      <c r="AL87" s="90">
        <f t="shared" si="25"/>
        <v>0</v>
      </c>
      <c r="AM87" s="58">
        <f t="shared" si="26"/>
        <v>0</v>
      </c>
      <c r="AN87" s="57">
        <f t="shared" si="27"/>
        <v>0</v>
      </c>
      <c r="AO87" s="432">
        <f t="shared" si="28"/>
        <v>0</v>
      </c>
      <c r="AP87" s="90">
        <f>_xlfn.IFERROR(IF(Simulador!$U$30=1,0,IF($AK87&lt;=0,0,$AK87*Simulador!$AA$43)),0)+_xlfn.IFERROR(IF(Simulador!$U$30=1,0,IF($AK87&lt;=0,0,IF(Simulador!$D$22&gt;0,Simulador!$D$22,Simulador!$O$24)*Simulador!$AA$44)),0)</f>
        <v>0</v>
      </c>
      <c r="AQ87" s="90">
        <f t="shared" si="31"/>
        <v>0</v>
      </c>
      <c r="AR87" s="26">
        <f t="shared" si="43"/>
        <v>0</v>
      </c>
      <c r="AS87">
        <f t="shared" si="38"/>
        <v>0</v>
      </c>
      <c r="AT87" s="549">
        <f t="shared" si="44"/>
      </c>
      <c r="AU87" s="404">
        <f t="shared" si="39"/>
        <v>0</v>
      </c>
      <c r="AV87" s="52">
        <v>73</v>
      </c>
      <c r="AW87" s="27"/>
      <c r="AX87" s="90"/>
      <c r="AY87" s="90"/>
      <c r="AZ87" s="90"/>
    </row>
    <row r="88" spans="1:52" ht="12.75">
      <c r="A88" s="503">
        <v>74</v>
      </c>
      <c r="B88" s="89">
        <f t="shared" si="40"/>
        <v>0</v>
      </c>
      <c r="C88" s="89"/>
      <c r="D88" s="90">
        <f>IF(B88+F88-D87&lt;=0,B88+F88,IF(AND(OR(Simulador!$U$39=2,Simulador!$U$39=7),J87=0),_xlfn.IFERROR((((P88/360*AU88)/(1-(1+(P88/360*AU88))^-AS88))*B88)*(1+AA88),0),IF($AF$3=2,B88*AJ88,_xlfn.IFERROR((((P88/360*AU88)/(1-(1+(P88/360*AU88))^-AS88))*B88)*(1+AA88),0))))</f>
        <v>0</v>
      </c>
      <c r="E88" s="90"/>
      <c r="F88" s="90">
        <f t="shared" si="32"/>
        <v>0</v>
      </c>
      <c r="G88" s="90"/>
      <c r="H88" s="90">
        <f t="shared" si="41"/>
        <v>0</v>
      </c>
      <c r="I88" s="91"/>
      <c r="J88" s="92"/>
      <c r="K88" s="91"/>
      <c r="L88" s="90">
        <f>IF(Simulador!$T$41=1,0,J88*Simulador!$W$39*1.16)</f>
        <v>0</v>
      </c>
      <c r="M88" s="90"/>
      <c r="N88" s="93">
        <f>IF(B88-H88=0,0,N86*(1+(Simulador!$AH$72)))</f>
        <v>0</v>
      </c>
      <c r="O88" s="12"/>
      <c r="P88" s="544">
        <f t="shared" si="42"/>
        <v>0</v>
      </c>
      <c r="Q88" s="4"/>
      <c r="R88" s="90">
        <f t="shared" si="33"/>
        <v>0</v>
      </c>
      <c r="S88" s="90"/>
      <c r="T88" s="90">
        <f>_xlfn.IFERROR(IF(Simulador!$U$30=1,0,IF($B88&lt;=0,0,$B88*Simulador!$AA$43)),0)</f>
        <v>0</v>
      </c>
      <c r="U88" s="90"/>
      <c r="V88" s="90">
        <f>_xlfn.IFERROR(IF(Simulador!$U$30=1,0,IF($B88&lt;=0,0,IF(Simulador!$D$22&gt;0,Simulador!$D$22,Simulador!$O$24)*Simulador!$AA$44)),0)</f>
        <v>0</v>
      </c>
      <c r="W88" s="90"/>
      <c r="X88" s="90"/>
      <c r="Y88" s="90">
        <f t="shared" si="29"/>
        <v>0</v>
      </c>
      <c r="Z88" s="13"/>
      <c r="AA88" s="18"/>
      <c r="AB88" s="23"/>
      <c r="AC88" s="364"/>
      <c r="AD88" s="222">
        <v>6</v>
      </c>
      <c r="AE88" s="220">
        <v>2</v>
      </c>
      <c r="AF88" s="269">
        <f t="shared" si="34"/>
        <v>0</v>
      </c>
      <c r="AG88" s="209">
        <f t="shared" si="35"/>
        <v>0</v>
      </c>
      <c r="AH88" s="209">
        <f t="shared" si="36"/>
        <v>0</v>
      </c>
      <c r="AI88" s="219">
        <f t="shared" si="30"/>
        <v>0</v>
      </c>
      <c r="AJ88" s="425">
        <f t="shared" si="37"/>
        <v>0</v>
      </c>
      <c r="AK88" s="57">
        <f t="shared" si="24"/>
        <v>0</v>
      </c>
      <c r="AL88" s="90">
        <f t="shared" si="25"/>
        <v>0</v>
      </c>
      <c r="AM88" s="58">
        <f t="shared" si="26"/>
        <v>0</v>
      </c>
      <c r="AN88" s="57">
        <f t="shared" si="27"/>
        <v>0</v>
      </c>
      <c r="AO88" s="432">
        <f t="shared" si="28"/>
        <v>0</v>
      </c>
      <c r="AP88" s="90">
        <f>_xlfn.IFERROR(IF(Simulador!$U$30=1,0,IF($AK88&lt;=0,0,$AK88*Simulador!$AA$43)),0)+_xlfn.IFERROR(IF(Simulador!$U$30=1,0,IF($AK88&lt;=0,0,IF(Simulador!$D$22&gt;0,Simulador!$D$22,Simulador!$O$24)*Simulador!$AA$44)),0)</f>
        <v>0</v>
      </c>
      <c r="AQ88" s="90">
        <f t="shared" si="31"/>
        <v>0</v>
      </c>
      <c r="AR88" s="26">
        <f t="shared" si="43"/>
        <v>0</v>
      </c>
      <c r="AS88">
        <f t="shared" si="38"/>
        <v>0</v>
      </c>
      <c r="AT88" s="549">
        <f t="shared" si="44"/>
      </c>
      <c r="AU88" s="404">
        <f t="shared" si="39"/>
        <v>0</v>
      </c>
      <c r="AV88" s="52">
        <v>74</v>
      </c>
      <c r="AW88" s="27"/>
      <c r="AX88" s="424"/>
      <c r="AZ88" s="52"/>
    </row>
    <row r="89" spans="1:52" ht="12.75">
      <c r="A89" s="503">
        <v>75</v>
      </c>
      <c r="B89" s="89">
        <f t="shared" si="40"/>
        <v>0</v>
      </c>
      <c r="C89" s="89"/>
      <c r="D89" s="90">
        <f>IF(B89+F89-D88&lt;=0,B89+F89,IF(AND(OR(Simulador!$U$39=2,Simulador!$U$39=7),J88=0),_xlfn.IFERROR((((P89/360*AU89)/(1-(1+(P89/360*AU89))^-AS89))*B89)*(1+AA89),0),IF($AF$3=2,B89*AJ89,_xlfn.IFERROR((((P89/360*AU89)/(1-(1+(P89/360*AU89))^-AS89))*B89)*(1+AA89),0))))</f>
        <v>0</v>
      </c>
      <c r="E89" s="90"/>
      <c r="F89" s="90">
        <f t="shared" si="32"/>
        <v>0</v>
      </c>
      <c r="G89" s="90"/>
      <c r="H89" s="90">
        <f t="shared" si="41"/>
        <v>0</v>
      </c>
      <c r="I89" s="91"/>
      <c r="J89" s="92"/>
      <c r="K89" s="91"/>
      <c r="L89" s="90">
        <f>IF(Simulador!$T$41=1,0,J89*Simulador!$W$39*1.16)</f>
        <v>0</v>
      </c>
      <c r="M89" s="90"/>
      <c r="N89" s="94"/>
      <c r="O89" s="12"/>
      <c r="P89" s="544">
        <f t="shared" si="42"/>
        <v>0</v>
      </c>
      <c r="Q89" s="4"/>
      <c r="R89" s="90">
        <f t="shared" si="33"/>
        <v>0</v>
      </c>
      <c r="S89" s="90"/>
      <c r="T89" s="90">
        <f>_xlfn.IFERROR(IF(Simulador!$U$30=1,0,IF($B89&lt;=0,0,$B89*Simulador!$AA$43)),0)</f>
        <v>0</v>
      </c>
      <c r="U89" s="90"/>
      <c r="V89" s="90">
        <f>_xlfn.IFERROR(IF(Simulador!$U$30=1,0,IF($B89&lt;=0,0,IF(Simulador!$D$22&gt;0,Simulador!$D$22,Simulador!$O$24)*Simulador!$AA$44)),0)</f>
        <v>0</v>
      </c>
      <c r="W89" s="90"/>
      <c r="X89" s="90"/>
      <c r="Y89" s="90">
        <f t="shared" si="29"/>
        <v>0</v>
      </c>
      <c r="Z89" s="13"/>
      <c r="AA89" s="18"/>
      <c r="AB89" s="23"/>
      <c r="AC89" s="364"/>
      <c r="AD89" s="222">
        <v>6</v>
      </c>
      <c r="AE89" s="220">
        <v>3</v>
      </c>
      <c r="AF89" s="269">
        <f t="shared" si="34"/>
        <v>0</v>
      </c>
      <c r="AG89" s="209">
        <f t="shared" si="35"/>
        <v>0</v>
      </c>
      <c r="AH89" s="209">
        <f t="shared" si="36"/>
        <v>0</v>
      </c>
      <c r="AI89" s="219">
        <f t="shared" si="30"/>
        <v>0</v>
      </c>
      <c r="AJ89" s="425">
        <f t="shared" si="37"/>
        <v>0</v>
      </c>
      <c r="AK89" s="57">
        <f t="shared" si="24"/>
        <v>0</v>
      </c>
      <c r="AL89" s="90">
        <f t="shared" si="25"/>
        <v>0</v>
      </c>
      <c r="AM89" s="58">
        <f t="shared" si="26"/>
        <v>0</v>
      </c>
      <c r="AN89" s="57">
        <f t="shared" si="27"/>
        <v>0</v>
      </c>
      <c r="AO89" s="432">
        <f t="shared" si="28"/>
        <v>0</v>
      </c>
      <c r="AP89" s="90">
        <f>_xlfn.IFERROR(IF(Simulador!$U$30=1,0,IF($AK89&lt;=0,0,$AK89*Simulador!$AA$43)),0)+_xlfn.IFERROR(IF(Simulador!$U$30=1,0,IF($AK89&lt;=0,0,IF(Simulador!$D$22&gt;0,Simulador!$D$22,Simulador!$O$24)*Simulador!$AA$44)),0)</f>
        <v>0</v>
      </c>
      <c r="AQ89" s="90">
        <f t="shared" si="31"/>
        <v>0</v>
      </c>
      <c r="AR89" s="26">
        <f t="shared" si="43"/>
        <v>0</v>
      </c>
      <c r="AS89">
        <f t="shared" si="38"/>
        <v>0</v>
      </c>
      <c r="AT89" s="549">
        <f t="shared" si="44"/>
      </c>
      <c r="AU89" s="404">
        <f t="shared" si="39"/>
        <v>0</v>
      </c>
      <c r="AV89" s="52">
        <v>75</v>
      </c>
      <c r="AW89" s="27"/>
      <c r="AX89" s="424"/>
      <c r="AZ89" s="52"/>
    </row>
    <row r="90" spans="1:52" ht="12.75">
      <c r="A90" s="503">
        <v>76</v>
      </c>
      <c r="B90" s="89">
        <f t="shared" si="40"/>
        <v>0</v>
      </c>
      <c r="C90" s="89"/>
      <c r="D90" s="90">
        <f>IF(B90+F90-D89&lt;=0,B90+F90,IF(AND(OR(Simulador!$U$39=2,Simulador!$U$39=7),J89=0),_xlfn.IFERROR((((P90/360*AU90)/(1-(1+(P90/360*AU90))^-AS90))*B90)*(1+AA90),0),IF($AF$3=2,B90*AJ90,_xlfn.IFERROR((((P90/360*AU90)/(1-(1+(P90/360*AU90))^-AS90))*B90)*(1+AA90),0))))</f>
        <v>0</v>
      </c>
      <c r="E90" s="90"/>
      <c r="F90" s="90">
        <f t="shared" si="32"/>
        <v>0</v>
      </c>
      <c r="G90" s="90"/>
      <c r="H90" s="90">
        <f t="shared" si="41"/>
        <v>0</v>
      </c>
      <c r="I90" s="91"/>
      <c r="J90" s="92"/>
      <c r="K90" s="91"/>
      <c r="L90" s="90">
        <f>IF(Simulador!$T$41=1,0,J90*Simulador!$W$39*1.16)</f>
        <v>0</v>
      </c>
      <c r="M90" s="90"/>
      <c r="N90" s="93">
        <f>IF(B90-H90=0,0,N88)</f>
        <v>0</v>
      </c>
      <c r="O90" s="12"/>
      <c r="P90" s="544">
        <f t="shared" si="42"/>
        <v>0</v>
      </c>
      <c r="Q90" s="4"/>
      <c r="R90" s="90">
        <f t="shared" si="33"/>
        <v>0</v>
      </c>
      <c r="S90" s="90"/>
      <c r="T90" s="90">
        <f>_xlfn.IFERROR(IF(Simulador!$U$30=1,0,IF($B90&lt;=0,0,$B90*Simulador!$AA$43)),0)</f>
        <v>0</v>
      </c>
      <c r="U90" s="90"/>
      <c r="V90" s="90">
        <f>_xlfn.IFERROR(IF(Simulador!$U$30=1,0,IF($B90&lt;=0,0,IF(Simulador!$D$22&gt;0,Simulador!$D$22,Simulador!$O$24)*Simulador!$AA$44)),0)</f>
        <v>0</v>
      </c>
      <c r="W90" s="90"/>
      <c r="X90" s="90"/>
      <c r="Y90" s="90">
        <f t="shared" si="29"/>
        <v>0</v>
      </c>
      <c r="Z90" s="13"/>
      <c r="AA90" s="18"/>
      <c r="AB90" s="23"/>
      <c r="AC90" s="364"/>
      <c r="AD90" s="222">
        <v>6</v>
      </c>
      <c r="AE90" s="219">
        <v>4</v>
      </c>
      <c r="AF90" s="269">
        <f t="shared" si="34"/>
        <v>0</v>
      </c>
      <c r="AG90" s="209">
        <f t="shared" si="35"/>
        <v>0</v>
      </c>
      <c r="AH90" s="209">
        <f t="shared" si="36"/>
        <v>0</v>
      </c>
      <c r="AI90" s="219">
        <f t="shared" si="30"/>
        <v>0</v>
      </c>
      <c r="AJ90" s="425">
        <f t="shared" si="37"/>
        <v>0</v>
      </c>
      <c r="AK90" s="57">
        <f t="shared" si="24"/>
        <v>0</v>
      </c>
      <c r="AL90" s="90">
        <f t="shared" si="25"/>
        <v>0</v>
      </c>
      <c r="AM90" s="58">
        <f t="shared" si="26"/>
        <v>0</v>
      </c>
      <c r="AN90" s="57">
        <f t="shared" si="27"/>
        <v>0</v>
      </c>
      <c r="AO90" s="432">
        <f t="shared" si="28"/>
        <v>0</v>
      </c>
      <c r="AP90" s="90">
        <f>_xlfn.IFERROR(IF(Simulador!$U$30=1,0,IF($AK90&lt;=0,0,$AK90*Simulador!$AA$43)),0)+_xlfn.IFERROR(IF(Simulador!$U$30=1,0,IF($AK90&lt;=0,0,IF(Simulador!$D$22&gt;0,Simulador!$D$22,Simulador!$O$24)*Simulador!$AA$44)),0)</f>
        <v>0</v>
      </c>
      <c r="AQ90" s="90">
        <f t="shared" si="31"/>
        <v>0</v>
      </c>
      <c r="AR90" s="26">
        <f t="shared" si="43"/>
        <v>0</v>
      </c>
      <c r="AS90">
        <f t="shared" si="38"/>
        <v>0</v>
      </c>
      <c r="AT90" s="549">
        <f t="shared" si="44"/>
      </c>
      <c r="AU90" s="404">
        <f t="shared" si="39"/>
        <v>0</v>
      </c>
      <c r="AV90" s="52">
        <v>76</v>
      </c>
      <c r="AW90" s="27"/>
      <c r="AX90" s="424"/>
      <c r="AZ90" s="52"/>
    </row>
    <row r="91" spans="1:52" ht="12.75">
      <c r="A91" s="503">
        <v>77</v>
      </c>
      <c r="B91" s="89">
        <f t="shared" si="40"/>
        <v>0</v>
      </c>
      <c r="C91" s="89"/>
      <c r="D91" s="90">
        <f>IF(B91+F91-D90&lt;=0,B91+F91,IF(AND(OR(Simulador!$U$39=2,Simulador!$U$39=7),J90=0),_xlfn.IFERROR((((P91/360*AU91)/(1-(1+(P91/360*AU91))^-AS91))*B91)*(1+AA91),0),IF($AF$3=2,B91*AJ91,_xlfn.IFERROR((((P91/360*AU91)/(1-(1+(P91/360*AU91))^-AS91))*B91)*(1+AA91),0))))</f>
        <v>0</v>
      </c>
      <c r="E91" s="90"/>
      <c r="F91" s="90">
        <f t="shared" si="32"/>
        <v>0</v>
      </c>
      <c r="G91" s="90"/>
      <c r="H91" s="90">
        <f t="shared" si="41"/>
        <v>0</v>
      </c>
      <c r="I91" s="91"/>
      <c r="J91" s="92"/>
      <c r="K91" s="91"/>
      <c r="L91" s="90">
        <f>IF(Simulador!$T$41=1,0,J91*Simulador!$W$39*1.16)</f>
        <v>0</v>
      </c>
      <c r="M91" s="90"/>
      <c r="N91" s="94"/>
      <c r="O91" s="12"/>
      <c r="P91" s="544">
        <f t="shared" si="42"/>
        <v>0</v>
      </c>
      <c r="Q91" s="4"/>
      <c r="R91" s="90">
        <f t="shared" si="33"/>
        <v>0</v>
      </c>
      <c r="S91" s="90"/>
      <c r="T91" s="90">
        <f>_xlfn.IFERROR(IF(Simulador!$U$30=1,0,IF($B91&lt;=0,0,$B91*Simulador!$AA$43)),0)</f>
        <v>0</v>
      </c>
      <c r="U91" s="90"/>
      <c r="V91" s="90">
        <f>_xlfn.IFERROR(IF(Simulador!$U$30=1,0,IF($B91&lt;=0,0,IF(Simulador!$D$22&gt;0,Simulador!$D$22,Simulador!$O$24)*Simulador!$AA$44)),0)</f>
        <v>0</v>
      </c>
      <c r="W91" s="90"/>
      <c r="X91" s="90"/>
      <c r="Y91" s="90">
        <f t="shared" si="29"/>
        <v>0</v>
      </c>
      <c r="Z91" s="13"/>
      <c r="AA91" s="18"/>
      <c r="AB91" s="23"/>
      <c r="AC91" s="364"/>
      <c r="AD91" s="222">
        <v>6</v>
      </c>
      <c r="AE91" s="219">
        <v>5</v>
      </c>
      <c r="AF91" s="269">
        <f t="shared" si="34"/>
        <v>0</v>
      </c>
      <c r="AG91" s="209">
        <f t="shared" si="35"/>
        <v>0</v>
      </c>
      <c r="AH91" s="209">
        <f t="shared" si="36"/>
        <v>0</v>
      </c>
      <c r="AI91" s="219">
        <f t="shared" si="30"/>
        <v>0</v>
      </c>
      <c r="AJ91" s="425">
        <f t="shared" si="37"/>
        <v>0</v>
      </c>
      <c r="AK91" s="57">
        <f t="shared" si="24"/>
        <v>0</v>
      </c>
      <c r="AL91" s="90">
        <f t="shared" si="25"/>
        <v>0</v>
      </c>
      <c r="AM91" s="58">
        <f t="shared" si="26"/>
        <v>0</v>
      </c>
      <c r="AN91" s="57">
        <f t="shared" si="27"/>
        <v>0</v>
      </c>
      <c r="AO91" s="432">
        <f t="shared" si="28"/>
        <v>0</v>
      </c>
      <c r="AP91" s="90">
        <f>_xlfn.IFERROR(IF(Simulador!$U$30=1,0,IF($AK91&lt;=0,0,$AK91*Simulador!$AA$43)),0)+_xlfn.IFERROR(IF(Simulador!$U$30=1,0,IF($AK91&lt;=0,0,IF(Simulador!$D$22&gt;0,Simulador!$D$22,Simulador!$O$24)*Simulador!$AA$44)),0)</f>
        <v>0</v>
      </c>
      <c r="AQ91" s="90">
        <f t="shared" si="31"/>
        <v>0</v>
      </c>
      <c r="AR91" s="26">
        <f t="shared" si="43"/>
        <v>0</v>
      </c>
      <c r="AS91">
        <f t="shared" si="38"/>
        <v>0</v>
      </c>
      <c r="AT91" s="549">
        <f t="shared" si="44"/>
      </c>
      <c r="AU91" s="404">
        <f t="shared" si="39"/>
        <v>0</v>
      </c>
      <c r="AV91" s="52">
        <v>77</v>
      </c>
      <c r="AW91" s="27"/>
      <c r="AX91" s="424"/>
      <c r="AZ91" s="52"/>
    </row>
    <row r="92" spans="1:52" ht="12.75">
      <c r="A92" s="503">
        <v>78</v>
      </c>
      <c r="B92" s="89">
        <f t="shared" si="40"/>
        <v>0</v>
      </c>
      <c r="C92" s="89"/>
      <c r="D92" s="90">
        <f>IF(B92+F92-D91&lt;=0,B92+F92,IF(AND(OR(Simulador!$U$39=2,Simulador!$U$39=7),J91=0),_xlfn.IFERROR((((P92/360*AU92)/(1-(1+(P92/360*AU92))^-AS92))*B92)*(1+AA92),0),IF($AF$3=2,B92*AJ92,_xlfn.IFERROR((((P92/360*AU92)/(1-(1+(P92/360*AU92))^-AS92))*B92)*(1+AA92),0))))</f>
        <v>0</v>
      </c>
      <c r="E92" s="90"/>
      <c r="F92" s="90">
        <f t="shared" si="32"/>
        <v>0</v>
      </c>
      <c r="G92" s="90"/>
      <c r="H92" s="90">
        <f t="shared" si="41"/>
        <v>0</v>
      </c>
      <c r="I92" s="91"/>
      <c r="J92" s="92"/>
      <c r="K92" s="91"/>
      <c r="L92" s="90">
        <f>IF(Simulador!$T$41=1,0,J92*Simulador!$W$39*1.16)</f>
        <v>0</v>
      </c>
      <c r="M92" s="90"/>
      <c r="N92" s="93">
        <f>IF(B92-H92=0,0,N90)</f>
        <v>0</v>
      </c>
      <c r="O92" s="12"/>
      <c r="P92" s="544">
        <f t="shared" si="42"/>
        <v>0</v>
      </c>
      <c r="Q92" s="4"/>
      <c r="R92" s="90">
        <f t="shared" si="33"/>
        <v>0</v>
      </c>
      <c r="S92" s="90"/>
      <c r="T92" s="90">
        <f>_xlfn.IFERROR(IF(Simulador!$U$30=1,0,IF($B92&lt;=0,0,$B92*Simulador!$AA$43)),0)</f>
        <v>0</v>
      </c>
      <c r="U92" s="90"/>
      <c r="V92" s="90">
        <f>_xlfn.IFERROR(IF(Simulador!$U$30=1,0,IF($B92&lt;=0,0,IF(Simulador!$D$22&gt;0,Simulador!$D$22,Simulador!$O$24)*Simulador!$AA$44)),0)</f>
        <v>0</v>
      </c>
      <c r="W92" s="90"/>
      <c r="X92" s="90"/>
      <c r="Y92" s="90">
        <f t="shared" si="29"/>
        <v>0</v>
      </c>
      <c r="Z92" s="13"/>
      <c r="AA92" s="18"/>
      <c r="AB92" s="23"/>
      <c r="AC92" s="364"/>
      <c r="AD92" s="222">
        <v>6</v>
      </c>
      <c r="AE92" s="219">
        <v>6</v>
      </c>
      <c r="AF92" s="269">
        <f t="shared" si="34"/>
        <v>0</v>
      </c>
      <c r="AG92" s="209">
        <f t="shared" si="35"/>
        <v>0</v>
      </c>
      <c r="AH92" s="209">
        <f t="shared" si="36"/>
        <v>0</v>
      </c>
      <c r="AI92" s="219">
        <f t="shared" si="30"/>
        <v>0</v>
      </c>
      <c r="AJ92" s="425">
        <f t="shared" si="37"/>
        <v>0</v>
      </c>
      <c r="AK92" s="57">
        <f t="shared" si="24"/>
        <v>0</v>
      </c>
      <c r="AL92" s="90">
        <f t="shared" si="25"/>
        <v>0</v>
      </c>
      <c r="AM92" s="58">
        <f t="shared" si="26"/>
        <v>0</v>
      </c>
      <c r="AN92" s="57">
        <f t="shared" si="27"/>
        <v>0</v>
      </c>
      <c r="AO92" s="432">
        <f t="shared" si="28"/>
        <v>0</v>
      </c>
      <c r="AP92" s="90">
        <f>_xlfn.IFERROR(IF(Simulador!$U$30=1,0,IF($AK92&lt;=0,0,$AK92*Simulador!$AA$43)),0)+_xlfn.IFERROR(IF(Simulador!$U$30=1,0,IF($AK92&lt;=0,0,IF(Simulador!$D$22&gt;0,Simulador!$D$22,Simulador!$O$24)*Simulador!$AA$44)),0)</f>
        <v>0</v>
      </c>
      <c r="AQ92" s="90">
        <f t="shared" si="31"/>
        <v>0</v>
      </c>
      <c r="AR92" s="26">
        <f t="shared" si="43"/>
        <v>0</v>
      </c>
      <c r="AS92">
        <f t="shared" si="38"/>
        <v>0</v>
      </c>
      <c r="AT92" s="549">
        <f t="shared" si="44"/>
      </c>
      <c r="AU92" s="404">
        <f t="shared" si="39"/>
        <v>0</v>
      </c>
      <c r="AV92" s="52">
        <v>78</v>
      </c>
      <c r="AW92" s="27"/>
      <c r="AX92" s="424"/>
      <c r="AZ92" s="52"/>
    </row>
    <row r="93" spans="1:52" ht="12.75">
      <c r="A93" s="503">
        <v>79</v>
      </c>
      <c r="B93" s="89">
        <f t="shared" si="40"/>
        <v>0</v>
      </c>
      <c r="C93" s="89"/>
      <c r="D93" s="90">
        <f>IF(B93+F93-D92&lt;=0,B93+F93,IF(AND(OR(Simulador!$U$39=2,Simulador!$U$39=7),J92=0),_xlfn.IFERROR((((P93/360*AU93)/(1-(1+(P93/360*AU93))^-AS93))*B93)*(1+AA93),0),IF($AF$3=2,B93*AJ93,_xlfn.IFERROR((((P93/360*AU93)/(1-(1+(P93/360*AU93))^-AS93))*B93)*(1+AA93),0))))</f>
        <v>0</v>
      </c>
      <c r="E93" s="90"/>
      <c r="F93" s="90">
        <f t="shared" si="32"/>
        <v>0</v>
      </c>
      <c r="G93" s="90"/>
      <c r="H93" s="90">
        <f t="shared" si="41"/>
        <v>0</v>
      </c>
      <c r="I93" s="91"/>
      <c r="J93" s="92"/>
      <c r="K93" s="91"/>
      <c r="L93" s="90">
        <f>IF(Simulador!$T$41=1,0,J93*Simulador!$W$39*1.16)</f>
        <v>0</v>
      </c>
      <c r="M93" s="90"/>
      <c r="N93" s="94"/>
      <c r="O93" s="12"/>
      <c r="P93" s="544">
        <f t="shared" si="42"/>
        <v>0</v>
      </c>
      <c r="Q93" s="4"/>
      <c r="R93" s="90">
        <f t="shared" si="33"/>
        <v>0</v>
      </c>
      <c r="S93" s="90"/>
      <c r="T93" s="90">
        <f>_xlfn.IFERROR(IF(Simulador!$U$30=1,0,IF($B93&lt;=0,0,$B93*Simulador!$AA$43)),0)</f>
        <v>0</v>
      </c>
      <c r="U93" s="90"/>
      <c r="V93" s="90">
        <f>_xlfn.IFERROR(IF(Simulador!$U$30=1,0,IF($B93&lt;=0,0,IF(Simulador!$D$22&gt;0,Simulador!$D$22,Simulador!$O$24)*Simulador!$AA$44)),0)</f>
        <v>0</v>
      </c>
      <c r="W93" s="90"/>
      <c r="X93" s="90"/>
      <c r="Y93" s="90">
        <f t="shared" si="29"/>
        <v>0</v>
      </c>
      <c r="Z93" s="13"/>
      <c r="AA93" s="18"/>
      <c r="AB93" s="23"/>
      <c r="AC93" s="364"/>
      <c r="AD93" s="222">
        <v>6</v>
      </c>
      <c r="AE93" s="219">
        <v>7</v>
      </c>
      <c r="AF93" s="269">
        <f t="shared" si="34"/>
        <v>0</v>
      </c>
      <c r="AG93" s="209">
        <f t="shared" si="35"/>
        <v>0</v>
      </c>
      <c r="AH93" s="209">
        <f t="shared" si="36"/>
        <v>0</v>
      </c>
      <c r="AI93" s="219">
        <f t="shared" si="30"/>
        <v>0</v>
      </c>
      <c r="AJ93" s="425">
        <f t="shared" si="37"/>
        <v>0</v>
      </c>
      <c r="AK93" s="57">
        <f t="shared" si="24"/>
        <v>0</v>
      </c>
      <c r="AL93" s="90">
        <f t="shared" si="25"/>
        <v>0</v>
      </c>
      <c r="AM93" s="58">
        <f t="shared" si="26"/>
        <v>0</v>
      </c>
      <c r="AN93" s="57">
        <f t="shared" si="27"/>
        <v>0</v>
      </c>
      <c r="AO93" s="432">
        <f t="shared" si="28"/>
        <v>0</v>
      </c>
      <c r="AP93" s="90">
        <f>_xlfn.IFERROR(IF(Simulador!$U$30=1,0,IF($AK93&lt;=0,0,$AK93*Simulador!$AA$43)),0)+_xlfn.IFERROR(IF(Simulador!$U$30=1,0,IF($AK93&lt;=0,0,IF(Simulador!$D$22&gt;0,Simulador!$D$22,Simulador!$O$24)*Simulador!$AA$44)),0)</f>
        <v>0</v>
      </c>
      <c r="AQ93" s="90">
        <f t="shared" si="31"/>
        <v>0</v>
      </c>
      <c r="AR93" s="26">
        <f t="shared" si="43"/>
        <v>0</v>
      </c>
      <c r="AS93">
        <f t="shared" si="38"/>
        <v>0</v>
      </c>
      <c r="AT93" s="549">
        <f t="shared" si="44"/>
      </c>
      <c r="AU93" s="404">
        <f t="shared" si="39"/>
        <v>0</v>
      </c>
      <c r="AV93" s="52">
        <v>79</v>
      </c>
      <c r="AW93" s="27"/>
      <c r="AX93" s="424"/>
      <c r="AZ93" s="52"/>
    </row>
    <row r="94" spans="1:52" ht="12.75">
      <c r="A94" s="503">
        <v>80</v>
      </c>
      <c r="B94" s="89">
        <f t="shared" si="40"/>
        <v>0</v>
      </c>
      <c r="C94" s="89"/>
      <c r="D94" s="90">
        <f>IF(B94+F94-D93&lt;=0,B94+F94,IF(AND(OR(Simulador!$U$39=2,Simulador!$U$39=7),J93=0),_xlfn.IFERROR((((P94/360*AU94)/(1-(1+(P94/360*AU94))^-AS94))*B94)*(1+AA94),0),IF($AF$3=2,B94*AJ94,_xlfn.IFERROR((((P94/360*AU94)/(1-(1+(P94/360*AU94))^-AS94))*B94)*(1+AA94),0))))</f>
        <v>0</v>
      </c>
      <c r="E94" s="90"/>
      <c r="F94" s="90">
        <f t="shared" si="32"/>
        <v>0</v>
      </c>
      <c r="G94" s="90"/>
      <c r="H94" s="90">
        <f t="shared" si="41"/>
        <v>0</v>
      </c>
      <c r="I94" s="91"/>
      <c r="J94" s="92"/>
      <c r="K94" s="91"/>
      <c r="L94" s="90">
        <f>IF(Simulador!$T$41=1,0,J94*Simulador!$W$39*1.16)</f>
        <v>0</v>
      </c>
      <c r="M94" s="90"/>
      <c r="N94" s="93">
        <f>IF(B94-H94=0,0,N92)</f>
        <v>0</v>
      </c>
      <c r="O94" s="12"/>
      <c r="P94" s="544">
        <f t="shared" si="42"/>
        <v>0</v>
      </c>
      <c r="Q94" s="4"/>
      <c r="R94" s="90">
        <f t="shared" si="33"/>
        <v>0</v>
      </c>
      <c r="S94" s="90"/>
      <c r="T94" s="90">
        <f>_xlfn.IFERROR(IF(Simulador!$U$30=1,0,IF($B94&lt;=0,0,$B94*Simulador!$AA$43)),0)</f>
        <v>0</v>
      </c>
      <c r="U94" s="90"/>
      <c r="V94" s="90">
        <f>_xlfn.IFERROR(IF(Simulador!$U$30=1,0,IF($B94&lt;=0,0,IF(Simulador!$D$22&gt;0,Simulador!$D$22,Simulador!$O$24)*Simulador!$AA$44)),0)</f>
        <v>0</v>
      </c>
      <c r="W94" s="90"/>
      <c r="X94" s="90"/>
      <c r="Y94" s="90">
        <f t="shared" si="29"/>
        <v>0</v>
      </c>
      <c r="Z94" s="13"/>
      <c r="AA94" s="18"/>
      <c r="AB94" s="23"/>
      <c r="AC94" s="364"/>
      <c r="AD94" s="222">
        <v>6</v>
      </c>
      <c r="AE94" s="219">
        <v>8</v>
      </c>
      <c r="AF94" s="269">
        <f t="shared" si="34"/>
        <v>0</v>
      </c>
      <c r="AG94" s="209">
        <f t="shared" si="35"/>
        <v>0</v>
      </c>
      <c r="AH94" s="209">
        <f t="shared" si="36"/>
        <v>0</v>
      </c>
      <c r="AI94" s="219">
        <f t="shared" si="30"/>
        <v>0</v>
      </c>
      <c r="AJ94" s="425">
        <f t="shared" si="37"/>
        <v>0</v>
      </c>
      <c r="AK94" s="57">
        <f t="shared" si="24"/>
        <v>0</v>
      </c>
      <c r="AL94" s="90">
        <f t="shared" si="25"/>
        <v>0</v>
      </c>
      <c r="AM94" s="58">
        <f t="shared" si="26"/>
        <v>0</v>
      </c>
      <c r="AN94" s="57">
        <f t="shared" si="27"/>
        <v>0</v>
      </c>
      <c r="AO94" s="432">
        <f t="shared" si="28"/>
        <v>0</v>
      </c>
      <c r="AP94" s="90">
        <f>_xlfn.IFERROR(IF(Simulador!$U$30=1,0,IF($AK94&lt;=0,0,$AK94*Simulador!$AA$43)),0)+_xlfn.IFERROR(IF(Simulador!$U$30=1,0,IF($AK94&lt;=0,0,IF(Simulador!$D$22&gt;0,Simulador!$D$22,Simulador!$O$24)*Simulador!$AA$44)),0)</f>
        <v>0</v>
      </c>
      <c r="AQ94" s="90">
        <f t="shared" si="31"/>
        <v>0</v>
      </c>
      <c r="AR94" s="26">
        <f t="shared" si="43"/>
        <v>0</v>
      </c>
      <c r="AS94">
        <f t="shared" si="38"/>
        <v>0</v>
      </c>
      <c r="AT94" s="549">
        <f t="shared" si="44"/>
      </c>
      <c r="AU94" s="404">
        <f t="shared" si="39"/>
        <v>0</v>
      </c>
      <c r="AV94" s="52">
        <v>80</v>
      </c>
      <c r="AW94" s="27"/>
      <c r="AX94" s="424"/>
      <c r="AZ94" s="52"/>
    </row>
    <row r="95" spans="1:52" ht="12.75">
      <c r="A95" s="503">
        <v>81</v>
      </c>
      <c r="B95" s="89">
        <f t="shared" si="40"/>
        <v>0</v>
      </c>
      <c r="C95" s="89"/>
      <c r="D95" s="90">
        <f>IF(B95+F95-D94&lt;=0,B95+F95,IF(AND(OR(Simulador!$U$39=2,Simulador!$U$39=7),J94=0),_xlfn.IFERROR((((P95/360*AU95)/(1-(1+(P95/360*AU95))^-AS95))*B95)*(1+AA95),0),IF($AF$3=2,B95*AJ95,_xlfn.IFERROR((((P95/360*AU95)/(1-(1+(P95/360*AU95))^-AS95))*B95)*(1+AA95),0))))</f>
        <v>0</v>
      </c>
      <c r="E95" s="90"/>
      <c r="F95" s="90">
        <f t="shared" si="32"/>
        <v>0</v>
      </c>
      <c r="G95" s="90"/>
      <c r="H95" s="90">
        <f t="shared" si="41"/>
        <v>0</v>
      </c>
      <c r="I95" s="91"/>
      <c r="J95" s="92"/>
      <c r="K95" s="91"/>
      <c r="L95" s="90">
        <f>IF(Simulador!$T$41=1,0,J95*Simulador!$W$39*1.16)</f>
        <v>0</v>
      </c>
      <c r="M95" s="90"/>
      <c r="N95" s="94"/>
      <c r="O95" s="12"/>
      <c r="P95" s="544">
        <f t="shared" si="42"/>
        <v>0</v>
      </c>
      <c r="Q95" s="4"/>
      <c r="R95" s="90">
        <f t="shared" si="33"/>
        <v>0</v>
      </c>
      <c r="S95" s="90"/>
      <c r="T95" s="90">
        <f>_xlfn.IFERROR(IF(Simulador!$U$30=1,0,IF($B95&lt;=0,0,$B95*Simulador!$AA$43)),0)</f>
        <v>0</v>
      </c>
      <c r="U95" s="90"/>
      <c r="V95" s="90">
        <f>_xlfn.IFERROR(IF(Simulador!$U$30=1,0,IF($B95&lt;=0,0,IF(Simulador!$D$22&gt;0,Simulador!$D$22,Simulador!$O$24)*Simulador!$AA$44)),0)</f>
        <v>0</v>
      </c>
      <c r="W95" s="90"/>
      <c r="X95" s="90"/>
      <c r="Y95" s="90">
        <f t="shared" si="29"/>
        <v>0</v>
      </c>
      <c r="Z95" s="13"/>
      <c r="AA95" s="18"/>
      <c r="AB95" s="23"/>
      <c r="AC95" s="364"/>
      <c r="AD95" s="222">
        <v>6</v>
      </c>
      <c r="AE95" s="221">
        <v>9</v>
      </c>
      <c r="AF95" s="269">
        <f t="shared" si="34"/>
        <v>0</v>
      </c>
      <c r="AG95" s="209">
        <f t="shared" si="35"/>
        <v>0</v>
      </c>
      <c r="AH95" s="209">
        <f t="shared" si="36"/>
        <v>0</v>
      </c>
      <c r="AI95" s="219">
        <f t="shared" si="30"/>
        <v>0</v>
      </c>
      <c r="AJ95" s="425">
        <f t="shared" si="37"/>
        <v>0</v>
      </c>
      <c r="AK95" s="57">
        <f t="shared" si="24"/>
        <v>0</v>
      </c>
      <c r="AL95" s="90">
        <f t="shared" si="25"/>
        <v>0</v>
      </c>
      <c r="AM95" s="58">
        <f t="shared" si="26"/>
        <v>0</v>
      </c>
      <c r="AN95" s="57">
        <f t="shared" si="27"/>
        <v>0</v>
      </c>
      <c r="AO95" s="432">
        <f t="shared" si="28"/>
        <v>0</v>
      </c>
      <c r="AP95" s="90">
        <f>_xlfn.IFERROR(IF(Simulador!$U$30=1,0,IF($AK95&lt;=0,0,$AK95*Simulador!$AA$43)),0)+_xlfn.IFERROR(IF(Simulador!$U$30=1,0,IF($AK95&lt;=0,0,IF(Simulador!$D$22&gt;0,Simulador!$D$22,Simulador!$O$24)*Simulador!$AA$44)),0)</f>
        <v>0</v>
      </c>
      <c r="AQ95" s="90">
        <f t="shared" si="31"/>
        <v>0</v>
      </c>
      <c r="AR95" s="26">
        <f t="shared" si="43"/>
        <v>0</v>
      </c>
      <c r="AS95">
        <f t="shared" si="38"/>
        <v>0</v>
      </c>
      <c r="AT95" s="549">
        <f t="shared" si="44"/>
      </c>
      <c r="AU95" s="404">
        <f t="shared" si="39"/>
        <v>0</v>
      </c>
      <c r="AV95" s="52">
        <v>81</v>
      </c>
      <c r="AW95" s="27"/>
      <c r="AX95" s="424"/>
      <c r="AZ95" s="52"/>
    </row>
    <row r="96" spans="1:52" ht="12.75">
      <c r="A96" s="503">
        <v>82</v>
      </c>
      <c r="B96" s="89">
        <f t="shared" si="40"/>
        <v>0</v>
      </c>
      <c r="C96" s="89"/>
      <c r="D96" s="90">
        <f>IF(B96+F96-D95&lt;=0,B96+F96,IF(AND(OR(Simulador!$U$39=2,Simulador!$U$39=7),J95=0),_xlfn.IFERROR((((P96/360*AU96)/(1-(1+(P96/360*AU96))^-AS96))*B96)*(1+AA96),0),IF($AF$3=2,B96*AJ96,_xlfn.IFERROR((((P96/360*AU96)/(1-(1+(P96/360*AU96))^-AS96))*B96)*(1+AA96),0))))</f>
        <v>0</v>
      </c>
      <c r="E96" s="90"/>
      <c r="F96" s="90">
        <f t="shared" si="32"/>
        <v>0</v>
      </c>
      <c r="G96" s="90"/>
      <c r="H96" s="90">
        <f t="shared" si="41"/>
        <v>0</v>
      </c>
      <c r="I96" s="91"/>
      <c r="J96" s="92"/>
      <c r="K96" s="91"/>
      <c r="L96" s="90">
        <f>IF(Simulador!$T$41=1,0,J96*Simulador!$W$39*1.16)</f>
        <v>0</v>
      </c>
      <c r="M96" s="90"/>
      <c r="N96" s="93">
        <f>IF(B96-H96=0,0,N94)</f>
        <v>0</v>
      </c>
      <c r="O96" s="12"/>
      <c r="P96" s="544">
        <f t="shared" si="42"/>
        <v>0</v>
      </c>
      <c r="Q96" s="4"/>
      <c r="R96" s="90">
        <f t="shared" si="33"/>
        <v>0</v>
      </c>
      <c r="S96" s="90"/>
      <c r="T96" s="90">
        <f>_xlfn.IFERROR(IF(Simulador!$U$30=1,0,IF($B96&lt;=0,0,$B96*Simulador!$AA$43)),0)</f>
        <v>0</v>
      </c>
      <c r="U96" s="90"/>
      <c r="V96" s="90">
        <f>_xlfn.IFERROR(IF(Simulador!$U$30=1,0,IF($B96&lt;=0,0,IF(Simulador!$D$22&gt;0,Simulador!$D$22,Simulador!$O$24)*Simulador!$AA$44)),0)</f>
        <v>0</v>
      </c>
      <c r="W96" s="90"/>
      <c r="X96" s="90"/>
      <c r="Y96" s="90">
        <f t="shared" si="29"/>
        <v>0</v>
      </c>
      <c r="Z96" s="13"/>
      <c r="AA96" s="18"/>
      <c r="AB96" s="23"/>
      <c r="AC96" s="364"/>
      <c r="AD96" s="222">
        <v>6</v>
      </c>
      <c r="AE96" s="221">
        <v>10</v>
      </c>
      <c r="AF96" s="269">
        <f t="shared" si="34"/>
        <v>0</v>
      </c>
      <c r="AG96" s="209">
        <f t="shared" si="35"/>
        <v>0</v>
      </c>
      <c r="AH96" s="209">
        <f t="shared" si="36"/>
        <v>0</v>
      </c>
      <c r="AI96" s="219">
        <f t="shared" si="30"/>
        <v>0</v>
      </c>
      <c r="AJ96" s="425">
        <f t="shared" si="37"/>
        <v>0</v>
      </c>
      <c r="AK96" s="57">
        <f t="shared" si="24"/>
        <v>0</v>
      </c>
      <c r="AL96" s="90">
        <f t="shared" si="25"/>
        <v>0</v>
      </c>
      <c r="AM96" s="58">
        <f t="shared" si="26"/>
        <v>0</v>
      </c>
      <c r="AN96" s="57">
        <f t="shared" si="27"/>
        <v>0</v>
      </c>
      <c r="AO96" s="432">
        <f t="shared" si="28"/>
        <v>0</v>
      </c>
      <c r="AP96" s="90">
        <f>_xlfn.IFERROR(IF(Simulador!$U$30=1,0,IF($AK96&lt;=0,0,$AK96*Simulador!$AA$43)),0)+_xlfn.IFERROR(IF(Simulador!$U$30=1,0,IF($AK96&lt;=0,0,IF(Simulador!$D$22&gt;0,Simulador!$D$22,Simulador!$O$24)*Simulador!$AA$44)),0)</f>
        <v>0</v>
      </c>
      <c r="AQ96" s="90">
        <f t="shared" si="31"/>
        <v>0</v>
      </c>
      <c r="AR96" s="26">
        <f t="shared" si="43"/>
        <v>0</v>
      </c>
      <c r="AS96">
        <f t="shared" si="38"/>
        <v>0</v>
      </c>
      <c r="AT96" s="549">
        <f t="shared" si="44"/>
      </c>
      <c r="AU96" s="404">
        <f t="shared" si="39"/>
        <v>0</v>
      </c>
      <c r="AV96" s="52">
        <v>82</v>
      </c>
      <c r="AW96" s="27"/>
      <c r="AX96" s="424"/>
      <c r="AZ96" s="52"/>
    </row>
    <row r="97" spans="1:52" ht="12.75">
      <c r="A97" s="503">
        <v>83</v>
      </c>
      <c r="B97" s="89">
        <f t="shared" si="40"/>
        <v>0</v>
      </c>
      <c r="C97" s="89"/>
      <c r="D97" s="90">
        <f>IF(B97+F97-D96&lt;=0,B97+F97,IF(AND(OR(Simulador!$U$39=2,Simulador!$U$39=7),J96=0),_xlfn.IFERROR((((P97/360*AU97)/(1-(1+(P97/360*AU97))^-AS97))*B97)*(1+AA97),0),IF($AF$3=2,B97*AJ97,_xlfn.IFERROR((((P97/360*AU97)/(1-(1+(P97/360*AU97))^-AS97))*B97)*(1+AA97),0))))</f>
        <v>0</v>
      </c>
      <c r="E97" s="90"/>
      <c r="F97" s="90">
        <f t="shared" si="32"/>
        <v>0</v>
      </c>
      <c r="G97" s="90"/>
      <c r="H97" s="90">
        <f t="shared" si="41"/>
        <v>0</v>
      </c>
      <c r="I97" s="91"/>
      <c r="J97" s="92"/>
      <c r="K97" s="91"/>
      <c r="L97" s="90">
        <f>IF(Simulador!$T$41=1,0,J97*Simulador!$W$39*1.16)</f>
        <v>0</v>
      </c>
      <c r="M97" s="90"/>
      <c r="N97" s="94"/>
      <c r="O97" s="12"/>
      <c r="P97" s="544">
        <f t="shared" si="42"/>
        <v>0</v>
      </c>
      <c r="Q97" s="4"/>
      <c r="R97" s="90">
        <f t="shared" si="33"/>
        <v>0</v>
      </c>
      <c r="S97" s="90"/>
      <c r="T97" s="90">
        <f>_xlfn.IFERROR(IF(Simulador!$U$30=1,0,IF($B97&lt;=0,0,$B97*Simulador!$AA$43)),0)</f>
        <v>0</v>
      </c>
      <c r="U97" s="90"/>
      <c r="V97" s="90">
        <f>_xlfn.IFERROR(IF(Simulador!$U$30=1,0,IF($B97&lt;=0,0,IF(Simulador!$D$22&gt;0,Simulador!$D$22,Simulador!$O$24)*Simulador!$AA$44)),0)</f>
        <v>0</v>
      </c>
      <c r="W97" s="90"/>
      <c r="X97" s="90"/>
      <c r="Y97" s="90">
        <f t="shared" si="29"/>
        <v>0</v>
      </c>
      <c r="Z97" s="13"/>
      <c r="AA97" s="18"/>
      <c r="AB97" s="23"/>
      <c r="AC97" s="364"/>
      <c r="AD97" s="222">
        <v>6</v>
      </c>
      <c r="AE97" s="219">
        <v>11</v>
      </c>
      <c r="AF97" s="269">
        <f t="shared" si="34"/>
        <v>0</v>
      </c>
      <c r="AG97" s="209">
        <f t="shared" si="35"/>
        <v>0</v>
      </c>
      <c r="AH97" s="209">
        <f t="shared" si="36"/>
        <v>0</v>
      </c>
      <c r="AI97" s="219">
        <f t="shared" si="30"/>
        <v>0</v>
      </c>
      <c r="AJ97" s="425">
        <f t="shared" si="37"/>
        <v>0</v>
      </c>
      <c r="AK97" s="57">
        <f t="shared" si="24"/>
        <v>0</v>
      </c>
      <c r="AL97" s="90">
        <f t="shared" si="25"/>
        <v>0</v>
      </c>
      <c r="AM97" s="58">
        <f t="shared" si="26"/>
        <v>0</v>
      </c>
      <c r="AN97" s="57">
        <f t="shared" si="27"/>
        <v>0</v>
      </c>
      <c r="AO97" s="432">
        <f t="shared" si="28"/>
        <v>0</v>
      </c>
      <c r="AP97" s="90">
        <f>_xlfn.IFERROR(IF(Simulador!$U$30=1,0,IF($AK97&lt;=0,0,$AK97*Simulador!$AA$43)),0)+_xlfn.IFERROR(IF(Simulador!$U$30=1,0,IF($AK97&lt;=0,0,IF(Simulador!$D$22&gt;0,Simulador!$D$22,Simulador!$O$24)*Simulador!$AA$44)),0)</f>
        <v>0</v>
      </c>
      <c r="AQ97" s="90">
        <f t="shared" si="31"/>
        <v>0</v>
      </c>
      <c r="AR97" s="26">
        <f t="shared" si="43"/>
        <v>0</v>
      </c>
      <c r="AS97">
        <f t="shared" si="38"/>
        <v>0</v>
      </c>
      <c r="AT97" s="549">
        <f t="shared" si="44"/>
      </c>
      <c r="AU97" s="404">
        <f t="shared" si="39"/>
        <v>0</v>
      </c>
      <c r="AV97" s="52">
        <v>83</v>
      </c>
      <c r="AW97" s="27"/>
      <c r="AX97" s="424"/>
      <c r="AZ97" s="52"/>
    </row>
    <row r="98" spans="1:52" ht="12.75">
      <c r="A98" s="503">
        <v>84</v>
      </c>
      <c r="B98" s="89">
        <f t="shared" si="40"/>
        <v>0</v>
      </c>
      <c r="C98" s="89"/>
      <c r="D98" s="90">
        <f>IF(B98+F98-D97&lt;=0,B98+F98,IF(AND(OR(Simulador!$U$39=2,Simulador!$U$39=7),J97=0),_xlfn.IFERROR((((P98/360*AU98)/(1-(1+(P98/360*AU98))^-AS98))*B98)*(1+AA98),0),IF($AF$3=2,B98*AJ98,_xlfn.IFERROR((((P98/360*AU98)/(1-(1+(P98/360*AU98))^-AS98))*B98)*(1+AA98),0))))</f>
        <v>0</v>
      </c>
      <c r="E98" s="90"/>
      <c r="F98" s="90">
        <f t="shared" si="32"/>
        <v>0</v>
      </c>
      <c r="G98" s="90"/>
      <c r="H98" s="90">
        <f t="shared" si="41"/>
        <v>0</v>
      </c>
      <c r="I98" s="91"/>
      <c r="J98" s="92"/>
      <c r="K98" s="91"/>
      <c r="L98" s="90">
        <f>IF(Simulador!$T$41=1,0,J98*Simulador!$W$39*1.16)</f>
        <v>0</v>
      </c>
      <c r="M98" s="90"/>
      <c r="N98" s="93">
        <f>IF(B98-H98=0,0,N96)</f>
        <v>0</v>
      </c>
      <c r="O98" s="12"/>
      <c r="P98" s="544">
        <f t="shared" si="42"/>
        <v>0</v>
      </c>
      <c r="Q98" s="4"/>
      <c r="R98" s="90">
        <f t="shared" si="33"/>
        <v>0</v>
      </c>
      <c r="S98" s="90"/>
      <c r="T98" s="90">
        <f>_xlfn.IFERROR(IF(Simulador!$U$30=1,0,IF($B98&lt;=0,0,$B98*Simulador!$AA$43)),0)</f>
        <v>0</v>
      </c>
      <c r="U98" s="90"/>
      <c r="V98" s="90">
        <f>_xlfn.IFERROR(IF(Simulador!$U$30=1,0,IF($B98&lt;=0,0,IF(Simulador!$D$22&gt;0,Simulador!$D$22,Simulador!$O$24)*Simulador!$AA$44)),0)</f>
        <v>0</v>
      </c>
      <c r="W98" s="90"/>
      <c r="X98" s="90"/>
      <c r="Y98" s="90">
        <f t="shared" si="29"/>
        <v>0</v>
      </c>
      <c r="Z98" s="13"/>
      <c r="AA98" s="18"/>
      <c r="AB98" s="23"/>
      <c r="AC98" s="364"/>
      <c r="AD98" s="222">
        <v>7</v>
      </c>
      <c r="AE98" s="219">
        <v>0</v>
      </c>
      <c r="AF98" s="269">
        <f t="shared" si="34"/>
        <v>0</v>
      </c>
      <c r="AG98" s="209">
        <f t="shared" si="35"/>
        <v>0</v>
      </c>
      <c r="AH98" s="209">
        <f t="shared" si="36"/>
        <v>0</v>
      </c>
      <c r="AI98" s="219">
        <f t="shared" si="30"/>
        <v>0</v>
      </c>
      <c r="AJ98" s="425">
        <f t="shared" si="37"/>
        <v>0</v>
      </c>
      <c r="AK98" s="57">
        <f t="shared" si="24"/>
        <v>0</v>
      </c>
      <c r="AL98" s="90">
        <f t="shared" si="25"/>
        <v>0</v>
      </c>
      <c r="AM98" s="58">
        <f t="shared" si="26"/>
        <v>0</v>
      </c>
      <c r="AN98" s="57">
        <f t="shared" si="27"/>
        <v>0</v>
      </c>
      <c r="AO98" s="432">
        <f t="shared" si="28"/>
        <v>0</v>
      </c>
      <c r="AP98" s="90">
        <f>_xlfn.IFERROR(IF(Simulador!$U$30=1,0,IF($AK98&lt;=0,0,$AK98*Simulador!$AA$43)),0)+_xlfn.IFERROR(IF(Simulador!$U$30=1,0,IF($AK98&lt;=0,0,IF(Simulador!$D$22&gt;0,Simulador!$D$22,Simulador!$O$24)*Simulador!$AA$44)),0)</f>
        <v>0</v>
      </c>
      <c r="AQ98" s="90">
        <f t="shared" si="31"/>
        <v>0</v>
      </c>
      <c r="AR98" s="26">
        <f t="shared" si="43"/>
        <v>0</v>
      </c>
      <c r="AS98">
        <f t="shared" si="38"/>
        <v>0</v>
      </c>
      <c r="AT98" s="549">
        <f t="shared" si="44"/>
      </c>
      <c r="AU98" s="404">
        <f t="shared" si="39"/>
        <v>0</v>
      </c>
      <c r="AV98" s="52">
        <v>84</v>
      </c>
      <c r="AW98" s="27"/>
      <c r="AX98" s="424"/>
      <c r="AZ98" s="52"/>
    </row>
    <row r="99" spans="1:52" ht="12.75">
      <c r="A99" s="503">
        <v>85</v>
      </c>
      <c r="B99" s="89">
        <f t="shared" si="40"/>
        <v>0</v>
      </c>
      <c r="C99" s="89"/>
      <c r="D99" s="90">
        <f>IF(B99+F99-D98&lt;=0,B99+F99,IF(AND(OR(Simulador!$U$39=2,Simulador!$U$39=7),J98=0),_xlfn.IFERROR((((P99/360*AU99)/(1-(1+(P99/360*AU99))^-AS99))*B99)*(1+AA99),0),IF($AF$3=2,B99*AJ99,_xlfn.IFERROR((((P99/360*AU99)/(1-(1+(P99/360*AU99))^-AS99))*B99)*(1+AA99),0))))</f>
        <v>0</v>
      </c>
      <c r="E99" s="90"/>
      <c r="F99" s="90">
        <f t="shared" si="32"/>
        <v>0</v>
      </c>
      <c r="G99" s="90"/>
      <c r="H99" s="90">
        <f t="shared" si="41"/>
        <v>0</v>
      </c>
      <c r="I99" s="91"/>
      <c r="J99" s="92"/>
      <c r="K99" s="91"/>
      <c r="L99" s="90">
        <f>IF(Simulador!$T$41=1,0,J99*Simulador!$W$39*1.16)</f>
        <v>0</v>
      </c>
      <c r="M99" s="90"/>
      <c r="N99" s="94"/>
      <c r="O99" s="12"/>
      <c r="P99" s="544">
        <f t="shared" si="42"/>
        <v>0</v>
      </c>
      <c r="Q99" s="4"/>
      <c r="R99" s="90">
        <f t="shared" si="33"/>
        <v>0</v>
      </c>
      <c r="S99" s="90"/>
      <c r="T99" s="90">
        <f>_xlfn.IFERROR(IF(Simulador!$U$30=1,0,IF($B99&lt;=0,0,$B99*Simulador!$AA$43)),0)</f>
        <v>0</v>
      </c>
      <c r="U99" s="90"/>
      <c r="V99" s="90">
        <f>_xlfn.IFERROR(IF(Simulador!$U$30=1,0,IF($B99&lt;=0,0,IF(Simulador!$D$22&gt;0,Simulador!$D$22,Simulador!$O$24)*Simulador!$AA$44)),0)</f>
        <v>0</v>
      </c>
      <c r="W99" s="90"/>
      <c r="X99" s="90"/>
      <c r="Y99" s="90">
        <f t="shared" si="29"/>
        <v>0</v>
      </c>
      <c r="Z99" s="13"/>
      <c r="AA99" s="18">
        <f>IF(B99&lt;=0,0,Simulador!$I$45)</f>
        <v>0</v>
      </c>
      <c r="AB99" s="23"/>
      <c r="AC99" s="364"/>
      <c r="AD99" s="222">
        <v>7</v>
      </c>
      <c r="AE99" s="219">
        <v>1</v>
      </c>
      <c r="AF99" s="269">
        <f t="shared" si="34"/>
        <v>0</v>
      </c>
      <c r="AG99" s="209">
        <f t="shared" si="35"/>
        <v>0</v>
      </c>
      <c r="AH99" s="209">
        <f t="shared" si="36"/>
        <v>0</v>
      </c>
      <c r="AI99" s="219">
        <f t="shared" si="30"/>
        <v>0</v>
      </c>
      <c r="AJ99" s="425">
        <f t="shared" si="37"/>
        <v>0</v>
      </c>
      <c r="AK99" s="57">
        <f t="shared" si="24"/>
        <v>0</v>
      </c>
      <c r="AL99" s="90">
        <f t="shared" si="25"/>
        <v>0</v>
      </c>
      <c r="AM99" s="58">
        <f t="shared" si="26"/>
        <v>0</v>
      </c>
      <c r="AN99" s="57">
        <f t="shared" si="27"/>
        <v>0</v>
      </c>
      <c r="AO99" s="432">
        <f t="shared" si="28"/>
        <v>0</v>
      </c>
      <c r="AP99" s="90">
        <f>_xlfn.IFERROR(IF(Simulador!$U$30=1,0,IF($AK99&lt;=0,0,$AK99*Simulador!$AA$43)),0)+_xlfn.IFERROR(IF(Simulador!$U$30=1,0,IF($AK99&lt;=0,0,IF(Simulador!$D$22&gt;0,Simulador!$D$22,Simulador!$O$24)*Simulador!$AA$44)),0)</f>
        <v>0</v>
      </c>
      <c r="AQ99" s="90">
        <f t="shared" si="31"/>
        <v>0</v>
      </c>
      <c r="AR99" s="26">
        <f t="shared" si="43"/>
        <v>0</v>
      </c>
      <c r="AS99">
        <f t="shared" si="38"/>
        <v>0</v>
      </c>
      <c r="AT99" s="549">
        <f t="shared" si="44"/>
      </c>
      <c r="AU99" s="404">
        <f t="shared" si="39"/>
        <v>0</v>
      </c>
      <c r="AV99" s="52">
        <v>85</v>
      </c>
      <c r="AW99" s="27"/>
      <c r="AX99" s="424"/>
      <c r="AZ99" s="52"/>
    </row>
    <row r="100" spans="1:52" ht="12.75">
      <c r="A100" s="503">
        <v>86</v>
      </c>
      <c r="B100" s="89">
        <f t="shared" si="40"/>
        <v>0</v>
      </c>
      <c r="C100" s="89"/>
      <c r="D100" s="90">
        <f>IF(B100+F100-D99&lt;=0,B100+F100,IF(AND(OR(Simulador!$U$39=2,Simulador!$U$39=7),J99=0),_xlfn.IFERROR((((P100/360*AU100)/(1-(1+(P100/360*AU100))^-AS100))*B100)*(1+AA100),0),IF($AF$3=2,B100*AJ100,_xlfn.IFERROR((((P100/360*AU100)/(1-(1+(P100/360*AU100))^-AS100))*B100)*(1+AA100),0))))</f>
        <v>0</v>
      </c>
      <c r="E100" s="90"/>
      <c r="F100" s="90">
        <f t="shared" si="32"/>
        <v>0</v>
      </c>
      <c r="G100" s="90"/>
      <c r="H100" s="90">
        <f t="shared" si="41"/>
        <v>0</v>
      </c>
      <c r="I100" s="91"/>
      <c r="J100" s="92"/>
      <c r="K100" s="91"/>
      <c r="L100" s="90">
        <f>IF(Simulador!$T$41=1,0,J100*Simulador!$W$39*1.16)</f>
        <v>0</v>
      </c>
      <c r="M100" s="90"/>
      <c r="N100" s="93">
        <f>IF(B100-H100=0,0,N98*(1+(Simulador!$AH$72)))</f>
        <v>0</v>
      </c>
      <c r="O100" s="12"/>
      <c r="P100" s="544">
        <f t="shared" si="42"/>
        <v>0</v>
      </c>
      <c r="Q100" s="4"/>
      <c r="R100" s="90">
        <f t="shared" si="33"/>
        <v>0</v>
      </c>
      <c r="S100" s="90"/>
      <c r="T100" s="90">
        <f>_xlfn.IFERROR(IF(Simulador!$U$30=1,0,IF($B100&lt;=0,0,$B100*Simulador!$AA$43)),0)</f>
        <v>0</v>
      </c>
      <c r="U100" s="90"/>
      <c r="V100" s="90">
        <f>_xlfn.IFERROR(IF(Simulador!$U$30=1,0,IF($B100&lt;=0,0,IF(Simulador!$D$22&gt;0,Simulador!$D$22,Simulador!$O$24)*Simulador!$AA$44)),0)</f>
        <v>0</v>
      </c>
      <c r="W100" s="90"/>
      <c r="X100" s="90"/>
      <c r="Y100" s="90">
        <f t="shared" si="29"/>
        <v>0</v>
      </c>
      <c r="Z100" s="13"/>
      <c r="AA100" s="18"/>
      <c r="AB100" s="23"/>
      <c r="AC100" s="364"/>
      <c r="AD100" s="222">
        <v>7</v>
      </c>
      <c r="AE100" s="220">
        <v>2</v>
      </c>
      <c r="AF100" s="269">
        <f t="shared" si="34"/>
        <v>0</v>
      </c>
      <c r="AG100" s="209">
        <f t="shared" si="35"/>
        <v>0</v>
      </c>
      <c r="AH100" s="209">
        <f t="shared" si="36"/>
        <v>0</v>
      </c>
      <c r="AI100" s="219">
        <f t="shared" si="30"/>
        <v>0</v>
      </c>
      <c r="AJ100" s="425">
        <f t="shared" si="37"/>
        <v>0</v>
      </c>
      <c r="AK100" s="57">
        <f t="shared" si="24"/>
        <v>0</v>
      </c>
      <c r="AL100" s="90">
        <f t="shared" si="25"/>
        <v>0</v>
      </c>
      <c r="AM100" s="58">
        <f t="shared" si="26"/>
        <v>0</v>
      </c>
      <c r="AN100" s="57">
        <f t="shared" si="27"/>
        <v>0</v>
      </c>
      <c r="AO100" s="432">
        <f t="shared" si="28"/>
        <v>0</v>
      </c>
      <c r="AP100" s="90">
        <f>_xlfn.IFERROR(IF(Simulador!$U$30=1,0,IF($AK100&lt;=0,0,$AK100*Simulador!$AA$43)),0)+_xlfn.IFERROR(IF(Simulador!$U$30=1,0,IF($AK100&lt;=0,0,IF(Simulador!$D$22&gt;0,Simulador!$D$22,Simulador!$O$24)*Simulador!$AA$44)),0)</f>
        <v>0</v>
      </c>
      <c r="AQ100" s="90">
        <f t="shared" si="31"/>
        <v>0</v>
      </c>
      <c r="AR100" s="26">
        <f t="shared" si="43"/>
        <v>0</v>
      </c>
      <c r="AS100">
        <f t="shared" si="38"/>
        <v>0</v>
      </c>
      <c r="AT100" s="549">
        <f t="shared" si="44"/>
      </c>
      <c r="AU100" s="404">
        <f t="shared" si="39"/>
        <v>0</v>
      </c>
      <c r="AV100" s="52">
        <v>86</v>
      </c>
      <c r="AW100" s="27"/>
      <c r="AX100" s="424"/>
      <c r="AZ100" s="52"/>
    </row>
    <row r="101" spans="1:52" ht="12.75">
      <c r="A101" s="503">
        <v>87</v>
      </c>
      <c r="B101" s="89">
        <f t="shared" si="40"/>
        <v>0</v>
      </c>
      <c r="C101" s="89"/>
      <c r="D101" s="90">
        <f>IF(B101+F101-D100&lt;=0,B101+F101,IF(AND(OR(Simulador!$U$39=2,Simulador!$U$39=7),J100=0),_xlfn.IFERROR((((P101/360*AU101)/(1-(1+(P101/360*AU101))^-AS101))*B101)*(1+AA101),0),IF($AF$3=2,B101*AJ101,_xlfn.IFERROR((((P101/360*AU101)/(1-(1+(P101/360*AU101))^-AS101))*B101)*(1+AA101),0))))</f>
        <v>0</v>
      </c>
      <c r="E101" s="90"/>
      <c r="F101" s="90">
        <f t="shared" si="32"/>
        <v>0</v>
      </c>
      <c r="G101" s="90"/>
      <c r="H101" s="90">
        <f t="shared" si="41"/>
        <v>0</v>
      </c>
      <c r="I101" s="91"/>
      <c r="J101" s="92"/>
      <c r="K101" s="91"/>
      <c r="L101" s="90">
        <f>IF(Simulador!$T$41=1,0,J101*Simulador!$W$39*1.16)</f>
        <v>0</v>
      </c>
      <c r="M101" s="90"/>
      <c r="N101" s="94"/>
      <c r="O101" s="12"/>
      <c r="P101" s="544">
        <f t="shared" si="42"/>
        <v>0</v>
      </c>
      <c r="Q101" s="4"/>
      <c r="R101" s="90">
        <f t="shared" si="33"/>
        <v>0</v>
      </c>
      <c r="S101" s="90"/>
      <c r="T101" s="90">
        <f>_xlfn.IFERROR(IF(Simulador!$U$30=1,0,IF($B101&lt;=0,0,$B101*Simulador!$AA$43)),0)</f>
        <v>0</v>
      </c>
      <c r="U101" s="90"/>
      <c r="V101" s="90">
        <f>_xlfn.IFERROR(IF(Simulador!$U$30=1,0,IF($B101&lt;=0,0,IF(Simulador!$D$22&gt;0,Simulador!$D$22,Simulador!$O$24)*Simulador!$AA$44)),0)</f>
        <v>0</v>
      </c>
      <c r="W101" s="90"/>
      <c r="X101" s="90"/>
      <c r="Y101" s="90">
        <f t="shared" si="29"/>
        <v>0</v>
      </c>
      <c r="Z101" s="13"/>
      <c r="AA101" s="18"/>
      <c r="AB101" s="23"/>
      <c r="AC101" s="364"/>
      <c r="AD101" s="222">
        <v>7</v>
      </c>
      <c r="AE101" s="220">
        <v>3</v>
      </c>
      <c r="AF101" s="269">
        <f t="shared" si="34"/>
        <v>0</v>
      </c>
      <c r="AG101" s="209">
        <f t="shared" si="35"/>
        <v>0</v>
      </c>
      <c r="AH101" s="209">
        <f t="shared" si="36"/>
        <v>0</v>
      </c>
      <c r="AI101" s="219">
        <f t="shared" si="30"/>
        <v>0</v>
      </c>
      <c r="AJ101" s="425">
        <f t="shared" si="37"/>
        <v>0</v>
      </c>
      <c r="AK101" s="57">
        <f t="shared" si="24"/>
        <v>0</v>
      </c>
      <c r="AL101" s="90">
        <f t="shared" si="25"/>
        <v>0</v>
      </c>
      <c r="AM101" s="58">
        <f t="shared" si="26"/>
        <v>0</v>
      </c>
      <c r="AN101" s="57">
        <f t="shared" si="27"/>
        <v>0</v>
      </c>
      <c r="AO101" s="432">
        <f t="shared" si="28"/>
        <v>0</v>
      </c>
      <c r="AP101" s="90">
        <f>_xlfn.IFERROR(IF(Simulador!$U$30=1,0,IF($AK101&lt;=0,0,$AK101*Simulador!$AA$43)),0)+_xlfn.IFERROR(IF(Simulador!$U$30=1,0,IF($AK101&lt;=0,0,IF(Simulador!$D$22&gt;0,Simulador!$D$22,Simulador!$O$24)*Simulador!$AA$44)),0)</f>
        <v>0</v>
      </c>
      <c r="AQ101" s="90">
        <f t="shared" si="31"/>
        <v>0</v>
      </c>
      <c r="AR101" s="26">
        <f t="shared" si="43"/>
        <v>0</v>
      </c>
      <c r="AS101">
        <f t="shared" si="38"/>
        <v>0</v>
      </c>
      <c r="AT101" s="549">
        <f t="shared" si="44"/>
      </c>
      <c r="AU101" s="404">
        <f t="shared" si="39"/>
        <v>0</v>
      </c>
      <c r="AV101" s="52">
        <v>87</v>
      </c>
      <c r="AW101" s="27"/>
      <c r="AX101" s="424"/>
      <c r="AZ101" s="52"/>
    </row>
    <row r="102" spans="1:52" ht="12.75">
      <c r="A102" s="503">
        <v>88</v>
      </c>
      <c r="B102" s="89">
        <f t="shared" si="40"/>
        <v>0</v>
      </c>
      <c r="C102" s="89"/>
      <c r="D102" s="90">
        <f>IF(B102+F102-D101&lt;=0,B102+F102,IF(AND(OR(Simulador!$U$39=2,Simulador!$U$39=7),J101=0),_xlfn.IFERROR((((P102/360*AU102)/(1-(1+(P102/360*AU102))^-AS102))*B102)*(1+AA102),0),IF($AF$3=2,B102*AJ102,_xlfn.IFERROR((((P102/360*AU102)/(1-(1+(P102/360*AU102))^-AS102))*B102)*(1+AA102),0))))</f>
        <v>0</v>
      </c>
      <c r="E102" s="90"/>
      <c r="F102" s="90">
        <f t="shared" si="32"/>
        <v>0</v>
      </c>
      <c r="G102" s="90"/>
      <c r="H102" s="90">
        <f t="shared" si="41"/>
        <v>0</v>
      </c>
      <c r="I102" s="91"/>
      <c r="J102" s="92"/>
      <c r="K102" s="91"/>
      <c r="L102" s="90">
        <f>IF(Simulador!$T$41=1,0,J102*Simulador!$W$39*1.16)</f>
        <v>0</v>
      </c>
      <c r="M102" s="90"/>
      <c r="N102" s="93">
        <f>IF(B102-H102=0,0,N100)</f>
        <v>0</v>
      </c>
      <c r="O102" s="12"/>
      <c r="P102" s="544">
        <f t="shared" si="42"/>
        <v>0</v>
      </c>
      <c r="Q102" s="4"/>
      <c r="R102" s="90">
        <f t="shared" si="33"/>
        <v>0</v>
      </c>
      <c r="S102" s="90"/>
      <c r="T102" s="90">
        <f>_xlfn.IFERROR(IF(Simulador!$U$30=1,0,IF($B102&lt;=0,0,$B102*Simulador!$AA$43)),0)</f>
        <v>0</v>
      </c>
      <c r="U102" s="90"/>
      <c r="V102" s="90">
        <f>_xlfn.IFERROR(IF(Simulador!$U$30=1,0,IF($B102&lt;=0,0,IF(Simulador!$D$22&gt;0,Simulador!$D$22,Simulador!$O$24)*Simulador!$AA$44)),0)</f>
        <v>0</v>
      </c>
      <c r="W102" s="90"/>
      <c r="X102" s="90"/>
      <c r="Y102" s="90">
        <f t="shared" si="29"/>
        <v>0</v>
      </c>
      <c r="Z102" s="13"/>
      <c r="AA102" s="18"/>
      <c r="AB102" s="23"/>
      <c r="AC102" s="364"/>
      <c r="AD102" s="222">
        <v>7</v>
      </c>
      <c r="AE102" s="219">
        <v>4</v>
      </c>
      <c r="AF102" s="269">
        <f t="shared" si="34"/>
        <v>0</v>
      </c>
      <c r="AG102" s="209">
        <f t="shared" si="35"/>
        <v>0</v>
      </c>
      <c r="AH102" s="209">
        <f t="shared" si="36"/>
        <v>0</v>
      </c>
      <c r="AI102" s="219">
        <f t="shared" si="30"/>
        <v>0</v>
      </c>
      <c r="AJ102" s="425">
        <f t="shared" si="37"/>
        <v>0</v>
      </c>
      <c r="AK102" s="57">
        <f t="shared" si="24"/>
        <v>0</v>
      </c>
      <c r="AL102" s="90">
        <f t="shared" si="25"/>
        <v>0</v>
      </c>
      <c r="AM102" s="58">
        <f t="shared" si="26"/>
        <v>0</v>
      </c>
      <c r="AN102" s="57">
        <f t="shared" si="27"/>
        <v>0</v>
      </c>
      <c r="AO102" s="432">
        <f t="shared" si="28"/>
        <v>0</v>
      </c>
      <c r="AP102" s="90">
        <f>_xlfn.IFERROR(IF(Simulador!$U$30=1,0,IF($AK102&lt;=0,0,$AK102*Simulador!$AA$43)),0)+_xlfn.IFERROR(IF(Simulador!$U$30=1,0,IF($AK102&lt;=0,0,IF(Simulador!$D$22&gt;0,Simulador!$D$22,Simulador!$O$24)*Simulador!$AA$44)),0)</f>
        <v>0</v>
      </c>
      <c r="AQ102" s="90">
        <f t="shared" si="31"/>
        <v>0</v>
      </c>
      <c r="AR102" s="26">
        <f t="shared" si="43"/>
        <v>0</v>
      </c>
      <c r="AS102">
        <f t="shared" si="38"/>
        <v>0</v>
      </c>
      <c r="AT102" s="549">
        <f t="shared" si="44"/>
      </c>
      <c r="AU102" s="404">
        <f t="shared" si="39"/>
        <v>0</v>
      </c>
      <c r="AV102" s="52">
        <v>88</v>
      </c>
      <c r="AW102" s="27"/>
      <c r="AX102" s="424"/>
      <c r="AZ102" s="52"/>
    </row>
    <row r="103" spans="1:52" ht="12.75">
      <c r="A103" s="503">
        <v>89</v>
      </c>
      <c r="B103" s="89">
        <f t="shared" si="40"/>
        <v>0</v>
      </c>
      <c r="C103" s="89"/>
      <c r="D103" s="90">
        <f>IF(B103+F103-D102&lt;=0,B103+F103,IF(AND(OR(Simulador!$U$39=2,Simulador!$U$39=7),J102=0),_xlfn.IFERROR((((P103/360*AU103)/(1-(1+(P103/360*AU103))^-AS103))*B103)*(1+AA103),0),IF($AF$3=2,B103*AJ103,_xlfn.IFERROR((((P103/360*AU103)/(1-(1+(P103/360*AU103))^-AS103))*B103)*(1+AA103),0))))</f>
        <v>0</v>
      </c>
      <c r="E103" s="90"/>
      <c r="F103" s="90">
        <f t="shared" si="32"/>
        <v>0</v>
      </c>
      <c r="G103" s="90"/>
      <c r="H103" s="90">
        <f t="shared" si="41"/>
        <v>0</v>
      </c>
      <c r="I103" s="91"/>
      <c r="J103" s="92"/>
      <c r="K103" s="91"/>
      <c r="L103" s="90">
        <f>IF(Simulador!$T$41=1,0,J103*Simulador!$W$39*1.16)</f>
        <v>0</v>
      </c>
      <c r="M103" s="90"/>
      <c r="N103" s="94"/>
      <c r="O103" s="12"/>
      <c r="P103" s="544">
        <f t="shared" si="42"/>
        <v>0</v>
      </c>
      <c r="Q103" s="4"/>
      <c r="R103" s="90">
        <f t="shared" si="33"/>
        <v>0</v>
      </c>
      <c r="S103" s="90"/>
      <c r="T103" s="90">
        <f>_xlfn.IFERROR(IF(Simulador!$U$30=1,0,IF($B103&lt;=0,0,$B103*Simulador!$AA$43)),0)</f>
        <v>0</v>
      </c>
      <c r="U103" s="90"/>
      <c r="V103" s="90">
        <f>_xlfn.IFERROR(IF(Simulador!$U$30=1,0,IF($B103&lt;=0,0,IF(Simulador!$D$22&gt;0,Simulador!$D$22,Simulador!$O$24)*Simulador!$AA$44)),0)</f>
        <v>0</v>
      </c>
      <c r="W103" s="90"/>
      <c r="X103" s="90"/>
      <c r="Y103" s="90">
        <f t="shared" si="29"/>
        <v>0</v>
      </c>
      <c r="Z103" s="13"/>
      <c r="AA103" s="18"/>
      <c r="AB103" s="23"/>
      <c r="AC103" s="364"/>
      <c r="AD103" s="222">
        <v>7</v>
      </c>
      <c r="AE103" s="219">
        <v>5</v>
      </c>
      <c r="AF103" s="269">
        <f t="shared" si="34"/>
        <v>0</v>
      </c>
      <c r="AG103" s="209">
        <f t="shared" si="35"/>
        <v>0</v>
      </c>
      <c r="AH103" s="209">
        <f t="shared" si="36"/>
        <v>0</v>
      </c>
      <c r="AI103" s="219">
        <f t="shared" si="30"/>
        <v>0</v>
      </c>
      <c r="AJ103" s="425">
        <f t="shared" si="37"/>
        <v>0</v>
      </c>
      <c r="AK103" s="57">
        <f t="shared" si="24"/>
        <v>0</v>
      </c>
      <c r="AL103" s="90">
        <f t="shared" si="25"/>
        <v>0</v>
      </c>
      <c r="AM103" s="58">
        <f t="shared" si="26"/>
        <v>0</v>
      </c>
      <c r="AN103" s="57">
        <f t="shared" si="27"/>
        <v>0</v>
      </c>
      <c r="AO103" s="432">
        <f t="shared" si="28"/>
        <v>0</v>
      </c>
      <c r="AP103" s="90">
        <f>_xlfn.IFERROR(IF(Simulador!$U$30=1,0,IF($AK103&lt;=0,0,$AK103*Simulador!$AA$43)),0)+_xlfn.IFERROR(IF(Simulador!$U$30=1,0,IF($AK103&lt;=0,0,IF(Simulador!$D$22&gt;0,Simulador!$D$22,Simulador!$O$24)*Simulador!$AA$44)),0)</f>
        <v>0</v>
      </c>
      <c r="AQ103" s="90">
        <f t="shared" si="31"/>
        <v>0</v>
      </c>
      <c r="AR103" s="26">
        <f t="shared" si="43"/>
        <v>0</v>
      </c>
      <c r="AS103">
        <f t="shared" si="38"/>
        <v>0</v>
      </c>
      <c r="AT103" s="549">
        <f t="shared" si="44"/>
      </c>
      <c r="AU103" s="404">
        <f t="shared" si="39"/>
        <v>0</v>
      </c>
      <c r="AV103" s="52">
        <v>89</v>
      </c>
      <c r="AW103" s="27"/>
      <c r="AX103" s="424"/>
      <c r="AZ103" s="52"/>
    </row>
    <row r="104" spans="1:52" ht="12.75">
      <c r="A104" s="503">
        <v>90</v>
      </c>
      <c r="B104" s="89">
        <f t="shared" si="40"/>
        <v>0</v>
      </c>
      <c r="C104" s="89"/>
      <c r="D104" s="90">
        <f>IF(B104+F104-D103&lt;=0,B104+F104,IF(AND(OR(Simulador!$U$39=2,Simulador!$U$39=7),J103=0),_xlfn.IFERROR((((P104/360*AU104)/(1-(1+(P104/360*AU104))^-AS104))*B104)*(1+AA104),0),IF($AF$3=2,B104*AJ104,_xlfn.IFERROR((((P104/360*AU104)/(1-(1+(P104/360*AU104))^-AS104))*B104)*(1+AA104),0))))</f>
        <v>0</v>
      </c>
      <c r="E104" s="90"/>
      <c r="F104" s="90">
        <f t="shared" si="32"/>
        <v>0</v>
      </c>
      <c r="G104" s="90"/>
      <c r="H104" s="90">
        <f t="shared" si="41"/>
        <v>0</v>
      </c>
      <c r="I104" s="91"/>
      <c r="J104" s="92"/>
      <c r="K104" s="91"/>
      <c r="L104" s="90">
        <f>IF(Simulador!$T$41=1,0,J104*Simulador!$W$39*1.16)</f>
        <v>0</v>
      </c>
      <c r="M104" s="90"/>
      <c r="N104" s="93">
        <f>IF(B104-H104=0,0,N102)</f>
        <v>0</v>
      </c>
      <c r="O104" s="12"/>
      <c r="P104" s="544">
        <f t="shared" si="42"/>
        <v>0</v>
      </c>
      <c r="Q104" s="4"/>
      <c r="R104" s="90">
        <f t="shared" si="33"/>
        <v>0</v>
      </c>
      <c r="S104" s="90"/>
      <c r="T104" s="90">
        <f>_xlfn.IFERROR(IF(Simulador!$U$30=1,0,IF($B104&lt;=0,0,$B104*Simulador!$AA$43)),0)</f>
        <v>0</v>
      </c>
      <c r="U104" s="90"/>
      <c r="V104" s="90">
        <f>_xlfn.IFERROR(IF(Simulador!$U$30=1,0,IF($B104&lt;=0,0,IF(Simulador!$D$22&gt;0,Simulador!$D$22,Simulador!$O$24)*Simulador!$AA$44)),0)</f>
        <v>0</v>
      </c>
      <c r="W104" s="90"/>
      <c r="X104" s="90"/>
      <c r="Y104" s="90">
        <f t="shared" si="29"/>
        <v>0</v>
      </c>
      <c r="Z104" s="13"/>
      <c r="AA104" s="18"/>
      <c r="AB104" s="23"/>
      <c r="AC104" s="364"/>
      <c r="AD104" s="222">
        <v>7</v>
      </c>
      <c r="AE104" s="219">
        <v>6</v>
      </c>
      <c r="AF104" s="269">
        <f t="shared" si="34"/>
        <v>0</v>
      </c>
      <c r="AG104" s="209">
        <f t="shared" si="35"/>
        <v>0</v>
      </c>
      <c r="AH104" s="209">
        <f t="shared" si="36"/>
        <v>0</v>
      </c>
      <c r="AI104" s="219">
        <f t="shared" si="30"/>
        <v>0</v>
      </c>
      <c r="AJ104" s="425">
        <f t="shared" si="37"/>
        <v>0</v>
      </c>
      <c r="AK104" s="57">
        <f t="shared" si="24"/>
        <v>0</v>
      </c>
      <c r="AL104" s="90">
        <f t="shared" si="25"/>
        <v>0</v>
      </c>
      <c r="AM104" s="58">
        <f t="shared" si="26"/>
        <v>0</v>
      </c>
      <c r="AN104" s="57">
        <f t="shared" si="27"/>
        <v>0</v>
      </c>
      <c r="AO104" s="432">
        <f t="shared" si="28"/>
        <v>0</v>
      </c>
      <c r="AP104" s="90">
        <f>_xlfn.IFERROR(IF(Simulador!$U$30=1,0,IF($AK104&lt;=0,0,$AK104*Simulador!$AA$43)),0)+_xlfn.IFERROR(IF(Simulador!$U$30=1,0,IF($AK104&lt;=0,0,IF(Simulador!$D$22&gt;0,Simulador!$D$22,Simulador!$O$24)*Simulador!$AA$44)),0)</f>
        <v>0</v>
      </c>
      <c r="AQ104" s="90">
        <f t="shared" si="31"/>
        <v>0</v>
      </c>
      <c r="AR104" s="26">
        <f t="shared" si="43"/>
        <v>0</v>
      </c>
      <c r="AS104">
        <f t="shared" si="38"/>
        <v>0</v>
      </c>
      <c r="AT104" s="549">
        <f t="shared" si="44"/>
      </c>
      <c r="AU104" s="404">
        <f t="shared" si="39"/>
        <v>0</v>
      </c>
      <c r="AV104" s="52">
        <v>90</v>
      </c>
      <c r="AW104" s="27"/>
      <c r="AX104" s="424"/>
      <c r="AZ104" s="52"/>
    </row>
    <row r="105" spans="1:52" ht="12.75">
      <c r="A105" s="503">
        <v>91</v>
      </c>
      <c r="B105" s="89">
        <f t="shared" si="40"/>
        <v>0</v>
      </c>
      <c r="C105" s="89"/>
      <c r="D105" s="90">
        <f>IF(B105+F105-D104&lt;=0,B105+F105,IF(AND(OR(Simulador!$U$39=2,Simulador!$U$39=7),J104=0),_xlfn.IFERROR((((P105/360*AU105)/(1-(1+(P105/360*AU105))^-AS105))*B105)*(1+AA105),0),IF($AF$3=2,B105*AJ105,_xlfn.IFERROR((((P105/360*AU105)/(1-(1+(P105/360*AU105))^-AS105))*B105)*(1+AA105),0))))</f>
        <v>0</v>
      </c>
      <c r="E105" s="90"/>
      <c r="F105" s="90">
        <f t="shared" si="32"/>
        <v>0</v>
      </c>
      <c r="G105" s="90"/>
      <c r="H105" s="90">
        <f t="shared" si="41"/>
        <v>0</v>
      </c>
      <c r="I105" s="91"/>
      <c r="J105" s="92"/>
      <c r="K105" s="91"/>
      <c r="L105" s="90">
        <f>IF(Simulador!$T$41=1,0,J105*Simulador!$W$39*1.16)</f>
        <v>0</v>
      </c>
      <c r="M105" s="90"/>
      <c r="N105" s="94"/>
      <c r="O105" s="12"/>
      <c r="P105" s="544">
        <f t="shared" si="42"/>
        <v>0</v>
      </c>
      <c r="Q105" s="4"/>
      <c r="R105" s="90">
        <f t="shared" si="33"/>
        <v>0</v>
      </c>
      <c r="S105" s="90"/>
      <c r="T105" s="90">
        <f>_xlfn.IFERROR(IF(Simulador!$U$30=1,0,IF($B105&lt;=0,0,$B105*Simulador!$AA$43)),0)</f>
        <v>0</v>
      </c>
      <c r="U105" s="90"/>
      <c r="V105" s="90">
        <f>_xlfn.IFERROR(IF(Simulador!$U$30=1,0,IF($B105&lt;=0,0,IF(Simulador!$D$22&gt;0,Simulador!$D$22,Simulador!$O$24)*Simulador!$AA$44)),0)</f>
        <v>0</v>
      </c>
      <c r="W105" s="90"/>
      <c r="X105" s="90"/>
      <c r="Y105" s="90">
        <f t="shared" si="29"/>
        <v>0</v>
      </c>
      <c r="Z105" s="13"/>
      <c r="AA105" s="18"/>
      <c r="AB105" s="23"/>
      <c r="AC105" s="364"/>
      <c r="AD105" s="222">
        <v>7</v>
      </c>
      <c r="AE105" s="219">
        <v>7</v>
      </c>
      <c r="AF105" s="269">
        <f t="shared" si="34"/>
        <v>0</v>
      </c>
      <c r="AG105" s="209">
        <f t="shared" si="35"/>
        <v>0</v>
      </c>
      <c r="AH105" s="209">
        <f t="shared" si="36"/>
        <v>0</v>
      </c>
      <c r="AI105" s="219">
        <f t="shared" si="30"/>
        <v>0</v>
      </c>
      <c r="AJ105" s="425">
        <f t="shared" si="37"/>
        <v>0</v>
      </c>
      <c r="AK105" s="57">
        <f t="shared" si="24"/>
        <v>0</v>
      </c>
      <c r="AL105" s="90">
        <f t="shared" si="25"/>
        <v>0</v>
      </c>
      <c r="AM105" s="58">
        <f t="shared" si="26"/>
        <v>0</v>
      </c>
      <c r="AN105" s="57">
        <f t="shared" si="27"/>
        <v>0</v>
      </c>
      <c r="AO105" s="432">
        <f t="shared" si="28"/>
        <v>0</v>
      </c>
      <c r="AP105" s="90">
        <f>_xlfn.IFERROR(IF(Simulador!$U$30=1,0,IF($AK105&lt;=0,0,$AK105*Simulador!$AA$43)),0)+_xlfn.IFERROR(IF(Simulador!$U$30=1,0,IF($AK105&lt;=0,0,IF(Simulador!$D$22&gt;0,Simulador!$D$22,Simulador!$O$24)*Simulador!$AA$44)),0)</f>
        <v>0</v>
      </c>
      <c r="AQ105" s="90">
        <f t="shared" si="31"/>
        <v>0</v>
      </c>
      <c r="AR105" s="26">
        <f t="shared" si="43"/>
        <v>0</v>
      </c>
      <c r="AS105">
        <f t="shared" si="38"/>
        <v>0</v>
      </c>
      <c r="AT105" s="549">
        <f t="shared" si="44"/>
      </c>
      <c r="AU105" s="404">
        <f t="shared" si="39"/>
        <v>0</v>
      </c>
      <c r="AV105" s="52">
        <v>91</v>
      </c>
      <c r="AW105" s="27"/>
      <c r="AX105" s="424"/>
      <c r="AZ105" s="52"/>
    </row>
    <row r="106" spans="1:52" ht="12.75">
      <c r="A106" s="503">
        <v>92</v>
      </c>
      <c r="B106" s="89">
        <f t="shared" si="40"/>
        <v>0</v>
      </c>
      <c r="C106" s="89"/>
      <c r="D106" s="90">
        <f>IF(B106+F106-D105&lt;=0,B106+F106,IF(AND(OR(Simulador!$U$39=2,Simulador!$U$39=7),J105=0),_xlfn.IFERROR((((P106/360*AU106)/(1-(1+(P106/360*AU106))^-AS106))*B106)*(1+AA106),0),IF($AF$3=2,B106*AJ106,_xlfn.IFERROR((((P106/360*AU106)/(1-(1+(P106/360*AU106))^-AS106))*B106)*(1+AA106),0))))</f>
        <v>0</v>
      </c>
      <c r="E106" s="90"/>
      <c r="F106" s="90">
        <f t="shared" si="32"/>
        <v>0</v>
      </c>
      <c r="G106" s="90"/>
      <c r="H106" s="90">
        <f t="shared" si="41"/>
        <v>0</v>
      </c>
      <c r="I106" s="91"/>
      <c r="J106" s="92"/>
      <c r="K106" s="91"/>
      <c r="L106" s="90">
        <f>IF(Simulador!$T$41=1,0,J106*Simulador!$W$39*1.16)</f>
        <v>0</v>
      </c>
      <c r="M106" s="90"/>
      <c r="N106" s="93">
        <f>IF(B106-H106=0,0,N104)</f>
        <v>0</v>
      </c>
      <c r="O106" s="12"/>
      <c r="P106" s="544">
        <f t="shared" si="42"/>
        <v>0</v>
      </c>
      <c r="Q106" s="4"/>
      <c r="R106" s="90">
        <f t="shared" si="33"/>
        <v>0</v>
      </c>
      <c r="S106" s="90"/>
      <c r="T106" s="90">
        <f>_xlfn.IFERROR(IF(Simulador!$U$30=1,0,IF($B106&lt;=0,0,$B106*Simulador!$AA$43)),0)</f>
        <v>0</v>
      </c>
      <c r="U106" s="90"/>
      <c r="V106" s="90">
        <f>_xlfn.IFERROR(IF(Simulador!$U$30=1,0,IF($B106&lt;=0,0,IF(Simulador!$D$22&gt;0,Simulador!$D$22,Simulador!$O$24)*Simulador!$AA$44)),0)</f>
        <v>0</v>
      </c>
      <c r="W106" s="90"/>
      <c r="X106" s="90"/>
      <c r="Y106" s="90">
        <f t="shared" si="29"/>
        <v>0</v>
      </c>
      <c r="Z106" s="13"/>
      <c r="AA106" s="18"/>
      <c r="AB106" s="23"/>
      <c r="AC106" s="364"/>
      <c r="AD106" s="222">
        <v>7</v>
      </c>
      <c r="AE106" s="219">
        <v>8</v>
      </c>
      <c r="AF106" s="269">
        <f t="shared" si="34"/>
        <v>0</v>
      </c>
      <c r="AG106" s="209">
        <f t="shared" si="35"/>
        <v>0</v>
      </c>
      <c r="AH106" s="209">
        <f t="shared" si="36"/>
        <v>0</v>
      </c>
      <c r="AI106" s="219">
        <f t="shared" si="30"/>
        <v>0</v>
      </c>
      <c r="AJ106" s="425">
        <f t="shared" si="37"/>
        <v>0</v>
      </c>
      <c r="AK106" s="57">
        <f t="shared" si="24"/>
        <v>0</v>
      </c>
      <c r="AL106" s="90">
        <f t="shared" si="25"/>
        <v>0</v>
      </c>
      <c r="AM106" s="58">
        <f t="shared" si="26"/>
        <v>0</v>
      </c>
      <c r="AN106" s="57">
        <f t="shared" si="27"/>
        <v>0</v>
      </c>
      <c r="AO106" s="432">
        <f t="shared" si="28"/>
        <v>0</v>
      </c>
      <c r="AP106" s="90">
        <f>_xlfn.IFERROR(IF(Simulador!$U$30=1,0,IF($AK106&lt;=0,0,$AK106*Simulador!$AA$43)),0)+_xlfn.IFERROR(IF(Simulador!$U$30=1,0,IF($AK106&lt;=0,0,IF(Simulador!$D$22&gt;0,Simulador!$D$22,Simulador!$O$24)*Simulador!$AA$44)),0)</f>
        <v>0</v>
      </c>
      <c r="AQ106" s="90">
        <f t="shared" si="31"/>
        <v>0</v>
      </c>
      <c r="AR106" s="26">
        <f t="shared" si="43"/>
        <v>0</v>
      </c>
      <c r="AS106">
        <f t="shared" si="38"/>
        <v>0</v>
      </c>
      <c r="AT106" s="549">
        <f t="shared" si="44"/>
      </c>
      <c r="AU106" s="404">
        <f t="shared" si="39"/>
        <v>0</v>
      </c>
      <c r="AV106" s="52">
        <v>92</v>
      </c>
      <c r="AW106" s="27"/>
      <c r="AX106" s="424"/>
      <c r="AZ106" s="52"/>
    </row>
    <row r="107" spans="1:52" ht="12.75">
      <c r="A107" s="503">
        <v>93</v>
      </c>
      <c r="B107" s="89">
        <f t="shared" si="40"/>
        <v>0</v>
      </c>
      <c r="C107" s="89"/>
      <c r="D107" s="90">
        <f>IF(B107+F107-D106&lt;=0,B107+F107,IF(AND(OR(Simulador!$U$39=2,Simulador!$U$39=7),J106=0),_xlfn.IFERROR((((P107/360*AU107)/(1-(1+(P107/360*AU107))^-AS107))*B107)*(1+AA107),0),IF($AF$3=2,B107*AJ107,_xlfn.IFERROR((((P107/360*AU107)/(1-(1+(P107/360*AU107))^-AS107))*B107)*(1+AA107),0))))</f>
        <v>0</v>
      </c>
      <c r="E107" s="90"/>
      <c r="F107" s="90">
        <f t="shared" si="32"/>
        <v>0</v>
      </c>
      <c r="G107" s="90"/>
      <c r="H107" s="90">
        <f t="shared" si="41"/>
        <v>0</v>
      </c>
      <c r="I107" s="91"/>
      <c r="J107" s="92"/>
      <c r="K107" s="91"/>
      <c r="L107" s="90">
        <f>IF(Simulador!$T$41=1,0,J107*Simulador!$W$39*1.16)</f>
        <v>0</v>
      </c>
      <c r="M107" s="90"/>
      <c r="N107" s="94"/>
      <c r="O107" s="12"/>
      <c r="P107" s="544">
        <f t="shared" si="42"/>
        <v>0</v>
      </c>
      <c r="Q107" s="4"/>
      <c r="R107" s="90">
        <f t="shared" si="33"/>
        <v>0</v>
      </c>
      <c r="S107" s="90"/>
      <c r="T107" s="90">
        <f>_xlfn.IFERROR(IF(Simulador!$U$30=1,0,IF($B107&lt;=0,0,$B107*Simulador!$AA$43)),0)</f>
        <v>0</v>
      </c>
      <c r="U107" s="90"/>
      <c r="V107" s="90">
        <f>_xlfn.IFERROR(IF(Simulador!$U$30=1,0,IF($B107&lt;=0,0,IF(Simulador!$D$22&gt;0,Simulador!$D$22,Simulador!$O$24)*Simulador!$AA$44)),0)</f>
        <v>0</v>
      </c>
      <c r="W107" s="90"/>
      <c r="X107" s="90"/>
      <c r="Y107" s="90">
        <f t="shared" si="29"/>
        <v>0</v>
      </c>
      <c r="Z107" s="13"/>
      <c r="AA107" s="18"/>
      <c r="AB107" s="23"/>
      <c r="AC107" s="364"/>
      <c r="AD107" s="222">
        <v>7</v>
      </c>
      <c r="AE107" s="221">
        <v>9</v>
      </c>
      <c r="AF107" s="269">
        <f t="shared" si="34"/>
        <v>0</v>
      </c>
      <c r="AG107" s="209">
        <f t="shared" si="35"/>
        <v>0</v>
      </c>
      <c r="AH107" s="209">
        <f t="shared" si="36"/>
        <v>0</v>
      </c>
      <c r="AI107" s="219">
        <f t="shared" si="30"/>
        <v>0</v>
      </c>
      <c r="AJ107" s="425">
        <f t="shared" si="37"/>
        <v>0</v>
      </c>
      <c r="AK107" s="57">
        <f t="shared" si="24"/>
        <v>0</v>
      </c>
      <c r="AL107" s="90">
        <f t="shared" si="25"/>
        <v>0</v>
      </c>
      <c r="AM107" s="58">
        <f t="shared" si="26"/>
        <v>0</v>
      </c>
      <c r="AN107" s="57">
        <f t="shared" si="27"/>
        <v>0</v>
      </c>
      <c r="AO107" s="432">
        <f t="shared" si="28"/>
        <v>0</v>
      </c>
      <c r="AP107" s="90">
        <f>_xlfn.IFERROR(IF(Simulador!$U$30=1,0,IF($AK107&lt;=0,0,$AK107*Simulador!$AA$43)),0)+_xlfn.IFERROR(IF(Simulador!$U$30=1,0,IF($AK107&lt;=0,0,IF(Simulador!$D$22&gt;0,Simulador!$D$22,Simulador!$O$24)*Simulador!$AA$44)),0)</f>
        <v>0</v>
      </c>
      <c r="AQ107" s="90">
        <f t="shared" si="31"/>
        <v>0</v>
      </c>
      <c r="AR107" s="26">
        <f t="shared" si="43"/>
        <v>0</v>
      </c>
      <c r="AS107">
        <f t="shared" si="38"/>
        <v>0</v>
      </c>
      <c r="AT107" s="549">
        <f t="shared" si="44"/>
      </c>
      <c r="AU107" s="404">
        <f t="shared" si="39"/>
        <v>0</v>
      </c>
      <c r="AV107" s="52">
        <v>93</v>
      </c>
      <c r="AW107" s="27"/>
      <c r="AX107" s="424"/>
      <c r="AZ107" s="52"/>
    </row>
    <row r="108" spans="1:52" ht="12.75">
      <c r="A108" s="503">
        <v>94</v>
      </c>
      <c r="B108" s="89">
        <f t="shared" si="40"/>
        <v>0</v>
      </c>
      <c r="C108" s="89"/>
      <c r="D108" s="90">
        <f>IF(B108+F108-D107&lt;=0,B108+F108,IF(AND(OR(Simulador!$U$39=2,Simulador!$U$39=7),J107=0),_xlfn.IFERROR((((P108/360*AU108)/(1-(1+(P108/360*AU108))^-AS108))*B108)*(1+AA108),0),IF($AF$3=2,B108*AJ108,_xlfn.IFERROR((((P108/360*AU108)/(1-(1+(P108/360*AU108))^-AS108))*B108)*(1+AA108),0))))</f>
        <v>0</v>
      </c>
      <c r="E108" s="90"/>
      <c r="F108" s="90">
        <f t="shared" si="32"/>
        <v>0</v>
      </c>
      <c r="G108" s="90"/>
      <c r="H108" s="90">
        <f t="shared" si="41"/>
        <v>0</v>
      </c>
      <c r="I108" s="91"/>
      <c r="J108" s="92"/>
      <c r="K108" s="91"/>
      <c r="L108" s="90">
        <f>IF(Simulador!$T$41=1,0,J108*Simulador!$W$39*1.16)</f>
        <v>0</v>
      </c>
      <c r="M108" s="90"/>
      <c r="N108" s="93">
        <f>IF(B108-H108=0,0,N106)</f>
        <v>0</v>
      </c>
      <c r="O108" s="12"/>
      <c r="P108" s="544">
        <f t="shared" si="42"/>
        <v>0</v>
      </c>
      <c r="Q108" s="4"/>
      <c r="R108" s="90">
        <f t="shared" si="33"/>
        <v>0</v>
      </c>
      <c r="S108" s="90"/>
      <c r="T108" s="90">
        <f>_xlfn.IFERROR(IF(Simulador!$U$30=1,0,IF($B108&lt;=0,0,$B108*Simulador!$AA$43)),0)</f>
        <v>0</v>
      </c>
      <c r="U108" s="90"/>
      <c r="V108" s="90">
        <f>_xlfn.IFERROR(IF(Simulador!$U$30=1,0,IF($B108&lt;=0,0,IF(Simulador!$D$22&gt;0,Simulador!$D$22,Simulador!$O$24)*Simulador!$AA$44)),0)</f>
        <v>0</v>
      </c>
      <c r="W108" s="90"/>
      <c r="X108" s="90"/>
      <c r="Y108" s="90">
        <f t="shared" si="29"/>
        <v>0</v>
      </c>
      <c r="Z108" s="13"/>
      <c r="AA108" s="18"/>
      <c r="AB108" s="23"/>
      <c r="AC108" s="364"/>
      <c r="AD108" s="222">
        <v>7</v>
      </c>
      <c r="AE108" s="221">
        <v>10</v>
      </c>
      <c r="AF108" s="269">
        <f t="shared" si="34"/>
        <v>0</v>
      </c>
      <c r="AG108" s="209">
        <f t="shared" si="35"/>
        <v>0</v>
      </c>
      <c r="AH108" s="209">
        <f t="shared" si="36"/>
        <v>0</v>
      </c>
      <c r="AI108" s="219">
        <f t="shared" si="30"/>
        <v>0</v>
      </c>
      <c r="AJ108" s="425">
        <f t="shared" si="37"/>
        <v>0</v>
      </c>
      <c r="AK108" s="57">
        <f t="shared" si="24"/>
        <v>0</v>
      </c>
      <c r="AL108" s="90">
        <f t="shared" si="25"/>
        <v>0</v>
      </c>
      <c r="AM108" s="58">
        <f t="shared" si="26"/>
        <v>0</v>
      </c>
      <c r="AN108" s="57">
        <f t="shared" si="27"/>
        <v>0</v>
      </c>
      <c r="AO108" s="432">
        <f t="shared" si="28"/>
        <v>0</v>
      </c>
      <c r="AP108" s="90">
        <f>_xlfn.IFERROR(IF(Simulador!$U$30=1,0,IF($AK108&lt;=0,0,$AK108*Simulador!$AA$43)),0)+_xlfn.IFERROR(IF(Simulador!$U$30=1,0,IF($AK108&lt;=0,0,IF(Simulador!$D$22&gt;0,Simulador!$D$22,Simulador!$O$24)*Simulador!$AA$44)),0)</f>
        <v>0</v>
      </c>
      <c r="AQ108" s="90">
        <f t="shared" si="31"/>
        <v>0</v>
      </c>
      <c r="AR108" s="26">
        <f t="shared" si="43"/>
        <v>0</v>
      </c>
      <c r="AS108">
        <f t="shared" si="38"/>
        <v>0</v>
      </c>
      <c r="AT108" s="549">
        <f t="shared" si="44"/>
      </c>
      <c r="AU108" s="404">
        <f t="shared" si="39"/>
        <v>0</v>
      </c>
      <c r="AV108" s="52">
        <v>94</v>
      </c>
      <c r="AW108" s="27"/>
      <c r="AX108" s="424"/>
      <c r="AZ108" s="52"/>
    </row>
    <row r="109" spans="1:52" ht="12.75">
      <c r="A109" s="503">
        <v>95</v>
      </c>
      <c r="B109" s="89">
        <f t="shared" si="40"/>
        <v>0</v>
      </c>
      <c r="C109" s="89"/>
      <c r="D109" s="90">
        <f>IF(B109+F109-D108&lt;=0,B109+F109,IF(AND(OR(Simulador!$U$39=2,Simulador!$U$39=7),J108=0),_xlfn.IFERROR((((P109/360*AU109)/(1-(1+(P109/360*AU109))^-AS109))*B109)*(1+AA109),0),IF($AF$3=2,B109*AJ109,_xlfn.IFERROR((((P109/360*AU109)/(1-(1+(P109/360*AU109))^-AS109))*B109)*(1+AA109),0))))</f>
        <v>0</v>
      </c>
      <c r="E109" s="90"/>
      <c r="F109" s="90">
        <f t="shared" si="32"/>
        <v>0</v>
      </c>
      <c r="G109" s="90"/>
      <c r="H109" s="90">
        <f t="shared" si="41"/>
        <v>0</v>
      </c>
      <c r="I109" s="91"/>
      <c r="J109" s="92"/>
      <c r="K109" s="91"/>
      <c r="L109" s="90">
        <f>IF(Simulador!$T$41=1,0,J109*Simulador!$W$39*1.16)</f>
        <v>0</v>
      </c>
      <c r="M109" s="90"/>
      <c r="N109" s="94"/>
      <c r="O109" s="12"/>
      <c r="P109" s="544">
        <f t="shared" si="42"/>
        <v>0</v>
      </c>
      <c r="Q109" s="4"/>
      <c r="R109" s="90">
        <f t="shared" si="33"/>
        <v>0</v>
      </c>
      <c r="S109" s="90"/>
      <c r="T109" s="90">
        <f>_xlfn.IFERROR(IF(Simulador!$U$30=1,0,IF($B109&lt;=0,0,$B109*Simulador!$AA$43)),0)</f>
        <v>0</v>
      </c>
      <c r="U109" s="90"/>
      <c r="V109" s="90">
        <f>_xlfn.IFERROR(IF(Simulador!$U$30=1,0,IF($B109&lt;=0,0,IF(Simulador!$D$22&gt;0,Simulador!$D$22,Simulador!$O$24)*Simulador!$AA$44)),0)</f>
        <v>0</v>
      </c>
      <c r="W109" s="90"/>
      <c r="X109" s="90"/>
      <c r="Y109" s="90">
        <f t="shared" si="29"/>
        <v>0</v>
      </c>
      <c r="Z109" s="13"/>
      <c r="AA109" s="18"/>
      <c r="AB109" s="23"/>
      <c r="AC109" s="364"/>
      <c r="AD109" s="222">
        <v>7</v>
      </c>
      <c r="AE109" s="219">
        <v>11</v>
      </c>
      <c r="AF109" s="269">
        <f t="shared" si="34"/>
        <v>0</v>
      </c>
      <c r="AG109" s="209">
        <f t="shared" si="35"/>
        <v>0</v>
      </c>
      <c r="AH109" s="209">
        <f t="shared" si="36"/>
        <v>0</v>
      </c>
      <c r="AI109" s="219">
        <f t="shared" si="30"/>
        <v>0</v>
      </c>
      <c r="AJ109" s="425">
        <f t="shared" si="37"/>
        <v>0</v>
      </c>
      <c r="AK109" s="57">
        <f t="shared" si="24"/>
        <v>0</v>
      </c>
      <c r="AL109" s="90">
        <f t="shared" si="25"/>
        <v>0</v>
      </c>
      <c r="AM109" s="58">
        <f t="shared" si="26"/>
        <v>0</v>
      </c>
      <c r="AN109" s="57">
        <f t="shared" si="27"/>
        <v>0</v>
      </c>
      <c r="AO109" s="432">
        <f t="shared" si="28"/>
        <v>0</v>
      </c>
      <c r="AP109" s="90">
        <f>_xlfn.IFERROR(IF(Simulador!$U$30=1,0,IF($AK109&lt;=0,0,$AK109*Simulador!$AA$43)),0)+_xlfn.IFERROR(IF(Simulador!$U$30=1,0,IF($AK109&lt;=0,0,IF(Simulador!$D$22&gt;0,Simulador!$D$22,Simulador!$O$24)*Simulador!$AA$44)),0)</f>
        <v>0</v>
      </c>
      <c r="AQ109" s="90">
        <f t="shared" si="31"/>
        <v>0</v>
      </c>
      <c r="AR109" s="26">
        <f t="shared" si="43"/>
        <v>0</v>
      </c>
      <c r="AS109">
        <f t="shared" si="38"/>
        <v>0</v>
      </c>
      <c r="AT109" s="549">
        <f t="shared" si="44"/>
      </c>
      <c r="AU109" s="404">
        <f t="shared" si="39"/>
        <v>0</v>
      </c>
      <c r="AV109" s="52">
        <v>95</v>
      </c>
      <c r="AW109" s="27"/>
      <c r="AX109" s="424"/>
      <c r="AZ109" s="52"/>
    </row>
    <row r="110" spans="1:52" ht="12.75">
      <c r="A110" s="503">
        <v>96</v>
      </c>
      <c r="B110" s="89">
        <f t="shared" si="40"/>
        <v>0</v>
      </c>
      <c r="C110" s="89"/>
      <c r="D110" s="90">
        <f>IF(B110+F110-D109&lt;=0,B110+F110,IF(AND(OR(Simulador!$U$39=2,Simulador!$U$39=7),J109=0),_xlfn.IFERROR((((P110/360*AU110)/(1-(1+(P110/360*AU110))^-AS110))*B110)*(1+AA110),0),IF($AF$3=2,B110*AJ110,_xlfn.IFERROR((((P110/360*AU110)/(1-(1+(P110/360*AU110))^-AS110))*B110)*(1+AA110),0))))</f>
        <v>0</v>
      </c>
      <c r="E110" s="90"/>
      <c r="F110" s="90">
        <f t="shared" si="32"/>
        <v>0</v>
      </c>
      <c r="G110" s="90"/>
      <c r="H110" s="90">
        <f t="shared" si="41"/>
        <v>0</v>
      </c>
      <c r="I110" s="91"/>
      <c r="J110" s="92"/>
      <c r="K110" s="91"/>
      <c r="L110" s="90">
        <f>IF(Simulador!$T$41=1,0,J110*Simulador!$W$39*1.16)</f>
        <v>0</v>
      </c>
      <c r="M110" s="90"/>
      <c r="N110" s="93">
        <f>IF(B110-H110=0,0,N108)</f>
        <v>0</v>
      </c>
      <c r="O110" s="12"/>
      <c r="P110" s="544">
        <f t="shared" si="42"/>
        <v>0</v>
      </c>
      <c r="Q110" s="4"/>
      <c r="R110" s="90">
        <f t="shared" si="33"/>
        <v>0</v>
      </c>
      <c r="S110" s="90"/>
      <c r="T110" s="90">
        <f>_xlfn.IFERROR(IF(Simulador!$U$30=1,0,IF($B110&lt;=0,0,$B110*Simulador!$AA$43)),0)</f>
        <v>0</v>
      </c>
      <c r="U110" s="90"/>
      <c r="V110" s="90">
        <f>_xlfn.IFERROR(IF(Simulador!$U$30=1,0,IF($B110&lt;=0,0,IF(Simulador!$D$22&gt;0,Simulador!$D$22,Simulador!$O$24)*Simulador!$AA$44)),0)</f>
        <v>0</v>
      </c>
      <c r="W110" s="90"/>
      <c r="X110" s="90"/>
      <c r="Y110" s="90">
        <f t="shared" si="29"/>
        <v>0</v>
      </c>
      <c r="Z110" s="13"/>
      <c r="AA110" s="18"/>
      <c r="AB110" s="23"/>
      <c r="AC110" s="364"/>
      <c r="AD110" s="222">
        <v>8</v>
      </c>
      <c r="AE110" s="219">
        <v>0</v>
      </c>
      <c r="AF110" s="269">
        <f t="shared" si="34"/>
        <v>0</v>
      </c>
      <c r="AG110" s="209">
        <f t="shared" si="35"/>
        <v>0</v>
      </c>
      <c r="AH110" s="209">
        <f t="shared" si="36"/>
        <v>0</v>
      </c>
      <c r="AI110" s="219">
        <f t="shared" si="30"/>
        <v>0</v>
      </c>
      <c r="AJ110" s="425">
        <f t="shared" si="37"/>
        <v>0</v>
      </c>
      <c r="AK110" s="57">
        <f t="shared" si="24"/>
        <v>0</v>
      </c>
      <c r="AL110" s="90">
        <f t="shared" si="25"/>
        <v>0</v>
      </c>
      <c r="AM110" s="58">
        <f t="shared" si="26"/>
        <v>0</v>
      </c>
      <c r="AN110" s="57">
        <f t="shared" si="27"/>
        <v>0</v>
      </c>
      <c r="AO110" s="432">
        <f t="shared" si="28"/>
        <v>0</v>
      </c>
      <c r="AP110" s="90">
        <f>_xlfn.IFERROR(IF(Simulador!$U$30=1,0,IF($AK110&lt;=0,0,$AK110*Simulador!$AA$43)),0)+_xlfn.IFERROR(IF(Simulador!$U$30=1,0,IF($AK110&lt;=0,0,IF(Simulador!$D$22&gt;0,Simulador!$D$22,Simulador!$O$24)*Simulador!$AA$44)),0)</f>
        <v>0</v>
      </c>
      <c r="AQ110" s="90">
        <f t="shared" si="31"/>
        <v>0</v>
      </c>
      <c r="AR110" s="26">
        <f t="shared" si="43"/>
        <v>0</v>
      </c>
      <c r="AS110">
        <f t="shared" si="38"/>
        <v>0</v>
      </c>
      <c r="AT110" s="549">
        <f t="shared" si="44"/>
      </c>
      <c r="AU110" s="404">
        <f t="shared" si="39"/>
        <v>0</v>
      </c>
      <c r="AV110" s="52">
        <v>96</v>
      </c>
      <c r="AW110" s="27"/>
      <c r="AX110" s="424"/>
      <c r="AZ110" s="52"/>
    </row>
    <row r="111" spans="1:52" ht="12.75">
      <c r="A111" s="503">
        <v>97</v>
      </c>
      <c r="B111" s="89">
        <f t="shared" si="40"/>
        <v>0</v>
      </c>
      <c r="C111" s="89"/>
      <c r="D111" s="90">
        <f>IF(B111+F111-D110&lt;=0,B111+F111,IF(AND(OR(Simulador!$U$39=2,Simulador!$U$39=7),J110=0),_xlfn.IFERROR((((P111/360*AU111)/(1-(1+(P111/360*AU111))^-AS111))*B111)*(1+AA111),0),IF($AF$3=2,B111*AJ111,_xlfn.IFERROR((((P111/360*AU111)/(1-(1+(P111/360*AU111))^-AS111))*B111)*(1+AA111),0))))</f>
        <v>0</v>
      </c>
      <c r="E111" s="90"/>
      <c r="F111" s="90">
        <f t="shared" si="32"/>
        <v>0</v>
      </c>
      <c r="G111" s="90"/>
      <c r="H111" s="90">
        <f t="shared" si="41"/>
        <v>0</v>
      </c>
      <c r="I111" s="91"/>
      <c r="J111" s="92"/>
      <c r="K111" s="91"/>
      <c r="L111" s="90">
        <f>IF(Simulador!$T$41=1,0,J111*Simulador!$W$39*1.16)</f>
        <v>0</v>
      </c>
      <c r="M111" s="90"/>
      <c r="N111" s="94"/>
      <c r="O111" s="12"/>
      <c r="P111" s="544">
        <f t="shared" si="42"/>
        <v>0</v>
      </c>
      <c r="Q111" s="4"/>
      <c r="R111" s="90">
        <f t="shared" si="33"/>
        <v>0</v>
      </c>
      <c r="S111" s="90"/>
      <c r="T111" s="90">
        <f>_xlfn.IFERROR(IF(Simulador!$U$30=1,0,IF($B111&lt;=0,0,$B111*Simulador!$AA$43)),0)</f>
        <v>0</v>
      </c>
      <c r="U111" s="90"/>
      <c r="V111" s="90">
        <f>_xlfn.IFERROR(IF(Simulador!$U$30=1,0,IF($B111&lt;=0,0,IF(Simulador!$D$22&gt;0,Simulador!$D$22,Simulador!$O$24)*Simulador!$AA$44)),0)</f>
        <v>0</v>
      </c>
      <c r="W111" s="90"/>
      <c r="X111" s="90"/>
      <c r="Y111" s="90">
        <f t="shared" si="29"/>
        <v>0</v>
      </c>
      <c r="Z111" s="13"/>
      <c r="AA111" s="18">
        <f>IF(B111&lt;=0,0,Simulador!$I$45)</f>
        <v>0</v>
      </c>
      <c r="AB111" s="23"/>
      <c r="AC111" s="364"/>
      <c r="AD111" s="222">
        <v>8</v>
      </c>
      <c r="AE111" s="219">
        <v>1</v>
      </c>
      <c r="AF111" s="269">
        <f t="shared" si="34"/>
        <v>0</v>
      </c>
      <c r="AG111" s="209">
        <f t="shared" si="35"/>
        <v>0</v>
      </c>
      <c r="AH111" s="209">
        <f t="shared" si="36"/>
        <v>0</v>
      </c>
      <c r="AI111" s="219">
        <f t="shared" si="30"/>
        <v>0</v>
      </c>
      <c r="AJ111" s="425">
        <f t="shared" si="37"/>
        <v>0</v>
      </c>
      <c r="AK111" s="57">
        <f t="shared" si="24"/>
        <v>0</v>
      </c>
      <c r="AL111" s="90">
        <f t="shared" si="25"/>
        <v>0</v>
      </c>
      <c r="AM111" s="58">
        <f t="shared" si="26"/>
        <v>0</v>
      </c>
      <c r="AN111" s="57">
        <f t="shared" si="27"/>
        <v>0</v>
      </c>
      <c r="AO111" s="432">
        <f t="shared" si="28"/>
        <v>0</v>
      </c>
      <c r="AP111" s="90">
        <f>_xlfn.IFERROR(IF(Simulador!$U$30=1,0,IF($AK111&lt;=0,0,$AK111*Simulador!$AA$43)),0)+_xlfn.IFERROR(IF(Simulador!$U$30=1,0,IF($AK111&lt;=0,0,IF(Simulador!$D$22&gt;0,Simulador!$D$22,Simulador!$O$24)*Simulador!$AA$44)),0)</f>
        <v>0</v>
      </c>
      <c r="AQ111" s="90">
        <f t="shared" si="31"/>
        <v>0</v>
      </c>
      <c r="AR111" s="26">
        <f t="shared" si="43"/>
        <v>0</v>
      </c>
      <c r="AS111">
        <f t="shared" si="38"/>
        <v>0</v>
      </c>
      <c r="AT111" s="549">
        <f t="shared" si="44"/>
      </c>
      <c r="AU111" s="404">
        <f t="shared" si="39"/>
        <v>0</v>
      </c>
      <c r="AV111" s="52">
        <v>97</v>
      </c>
      <c r="AW111" s="27"/>
      <c r="AX111" s="424"/>
      <c r="AZ111" s="52"/>
    </row>
    <row r="112" spans="1:52" ht="12.75">
      <c r="A112" s="503">
        <v>98</v>
      </c>
      <c r="B112" s="89">
        <f t="shared" si="40"/>
        <v>0</v>
      </c>
      <c r="C112" s="89"/>
      <c r="D112" s="90">
        <f>IF(B112+F112-D111&lt;=0,B112+F112,IF(AND(OR(Simulador!$U$39=2,Simulador!$U$39=7),J111=0),_xlfn.IFERROR((((P112/360*AU112)/(1-(1+(P112/360*AU112))^-AS112))*B112)*(1+AA112),0),IF($AF$3=2,B112*AJ112,_xlfn.IFERROR((((P112/360*AU112)/(1-(1+(P112/360*AU112))^-AS112))*B112)*(1+AA112),0))))</f>
        <v>0</v>
      </c>
      <c r="E112" s="90"/>
      <c r="F112" s="90">
        <f t="shared" si="32"/>
        <v>0</v>
      </c>
      <c r="G112" s="90"/>
      <c r="H112" s="90">
        <f t="shared" si="41"/>
        <v>0</v>
      </c>
      <c r="I112" s="91"/>
      <c r="J112" s="92"/>
      <c r="K112" s="91"/>
      <c r="L112" s="90">
        <f>IF(Simulador!$T$41=1,0,J112*Simulador!$W$39*1.16)</f>
        <v>0</v>
      </c>
      <c r="M112" s="90"/>
      <c r="N112" s="93">
        <f>IF(B112-H112=0,0,N110*(1+(Simulador!$AH$72)))</f>
        <v>0</v>
      </c>
      <c r="O112" s="12"/>
      <c r="P112" s="544">
        <f t="shared" si="42"/>
        <v>0</v>
      </c>
      <c r="Q112" s="4"/>
      <c r="R112" s="90">
        <f t="shared" si="33"/>
        <v>0</v>
      </c>
      <c r="S112" s="90"/>
      <c r="T112" s="90">
        <f>_xlfn.IFERROR(IF(Simulador!$U$30=1,0,IF($B112&lt;=0,0,$B112*Simulador!$AA$43)),0)</f>
        <v>0</v>
      </c>
      <c r="U112" s="90"/>
      <c r="V112" s="90">
        <f>_xlfn.IFERROR(IF(Simulador!$U$30=1,0,IF($B112&lt;=0,0,IF(Simulador!$D$22&gt;0,Simulador!$D$22,Simulador!$O$24)*Simulador!$AA$44)),0)</f>
        <v>0</v>
      </c>
      <c r="W112" s="90"/>
      <c r="X112" s="90"/>
      <c r="Y112" s="90">
        <f t="shared" si="29"/>
        <v>0</v>
      </c>
      <c r="Z112" s="13"/>
      <c r="AA112" s="18"/>
      <c r="AB112" s="23"/>
      <c r="AC112" s="364"/>
      <c r="AD112" s="222">
        <v>8</v>
      </c>
      <c r="AE112" s="220">
        <v>2</v>
      </c>
      <c r="AF112" s="269">
        <f t="shared" si="34"/>
        <v>0</v>
      </c>
      <c r="AG112" s="209">
        <f t="shared" si="35"/>
        <v>0</v>
      </c>
      <c r="AH112" s="209">
        <f t="shared" si="36"/>
        <v>0</v>
      </c>
      <c r="AI112" s="219">
        <f t="shared" si="30"/>
        <v>0</v>
      </c>
      <c r="AJ112" s="425">
        <f t="shared" si="37"/>
        <v>0</v>
      </c>
      <c r="AK112" s="57">
        <f t="shared" si="24"/>
        <v>0</v>
      </c>
      <c r="AL112" s="90">
        <f t="shared" si="25"/>
        <v>0</v>
      </c>
      <c r="AM112" s="58">
        <f t="shared" si="26"/>
        <v>0</v>
      </c>
      <c r="AN112" s="57">
        <f t="shared" si="27"/>
        <v>0</v>
      </c>
      <c r="AO112" s="432">
        <f t="shared" si="28"/>
        <v>0</v>
      </c>
      <c r="AP112" s="90">
        <f>_xlfn.IFERROR(IF(Simulador!$U$30=1,0,IF($AK112&lt;=0,0,$AK112*Simulador!$AA$43)),0)+_xlfn.IFERROR(IF(Simulador!$U$30=1,0,IF($AK112&lt;=0,0,IF(Simulador!$D$22&gt;0,Simulador!$D$22,Simulador!$O$24)*Simulador!$AA$44)),0)</f>
        <v>0</v>
      </c>
      <c r="AQ112" s="90">
        <f t="shared" si="31"/>
        <v>0</v>
      </c>
      <c r="AR112" s="26">
        <f t="shared" si="43"/>
        <v>0</v>
      </c>
      <c r="AS112">
        <f t="shared" si="38"/>
        <v>0</v>
      </c>
      <c r="AT112" s="549">
        <f t="shared" si="44"/>
      </c>
      <c r="AU112" s="404">
        <f t="shared" si="39"/>
        <v>0</v>
      </c>
      <c r="AV112" s="52">
        <v>98</v>
      </c>
      <c r="AW112" s="27"/>
      <c r="AX112" s="424"/>
      <c r="AZ112" s="52"/>
    </row>
    <row r="113" spans="1:52" ht="12.75">
      <c r="A113" s="503">
        <v>99</v>
      </c>
      <c r="B113" s="89">
        <f t="shared" si="40"/>
        <v>0</v>
      </c>
      <c r="C113" s="89"/>
      <c r="D113" s="90">
        <f>IF(B113+F113-D112&lt;=0,B113+F113,IF(AND(OR(Simulador!$U$39=2,Simulador!$U$39=7),J112=0),_xlfn.IFERROR((((P113/360*AU113)/(1-(1+(P113/360*AU113))^-AS113))*B113)*(1+AA113),0),IF($AF$3=2,B113*AJ113,_xlfn.IFERROR((((P113/360*AU113)/(1-(1+(P113/360*AU113))^-AS113))*B113)*(1+AA113),0))))</f>
        <v>0</v>
      </c>
      <c r="E113" s="90"/>
      <c r="F113" s="90">
        <f t="shared" si="32"/>
        <v>0</v>
      </c>
      <c r="G113" s="90"/>
      <c r="H113" s="90">
        <f t="shared" si="41"/>
        <v>0</v>
      </c>
      <c r="I113" s="91"/>
      <c r="J113" s="92"/>
      <c r="K113" s="91"/>
      <c r="L113" s="90">
        <f>IF(Simulador!$T$41=1,0,J113*Simulador!$W$39*1.16)</f>
        <v>0</v>
      </c>
      <c r="M113" s="90"/>
      <c r="N113" s="94"/>
      <c r="O113" s="12"/>
      <c r="P113" s="544">
        <f t="shared" si="42"/>
        <v>0</v>
      </c>
      <c r="Q113" s="4"/>
      <c r="R113" s="90">
        <f t="shared" si="33"/>
        <v>0</v>
      </c>
      <c r="S113" s="90"/>
      <c r="T113" s="90">
        <f>_xlfn.IFERROR(IF(Simulador!$U$30=1,0,IF($B113&lt;=0,0,$B113*Simulador!$AA$43)),0)</f>
        <v>0</v>
      </c>
      <c r="U113" s="90"/>
      <c r="V113" s="90">
        <f>_xlfn.IFERROR(IF(Simulador!$U$30=1,0,IF($B113&lt;=0,0,IF(Simulador!$D$22&gt;0,Simulador!$D$22,Simulador!$O$24)*Simulador!$AA$44)),0)</f>
        <v>0</v>
      </c>
      <c r="W113" s="90"/>
      <c r="X113" s="90"/>
      <c r="Y113" s="90">
        <f t="shared" si="29"/>
        <v>0</v>
      </c>
      <c r="Z113" s="13"/>
      <c r="AA113" s="18"/>
      <c r="AB113" s="23"/>
      <c r="AC113" s="364"/>
      <c r="AD113" s="222">
        <v>8</v>
      </c>
      <c r="AE113" s="220">
        <v>3</v>
      </c>
      <c r="AF113" s="269">
        <f t="shared" si="34"/>
        <v>0</v>
      </c>
      <c r="AG113" s="209">
        <f t="shared" si="35"/>
        <v>0</v>
      </c>
      <c r="AH113" s="209">
        <f t="shared" si="36"/>
        <v>0</v>
      </c>
      <c r="AI113" s="219">
        <f t="shared" si="30"/>
        <v>0</v>
      </c>
      <c r="AJ113" s="425">
        <f t="shared" si="37"/>
        <v>0</v>
      </c>
      <c r="AK113" s="57">
        <f t="shared" si="24"/>
        <v>0</v>
      </c>
      <c r="AL113" s="90">
        <f t="shared" si="25"/>
        <v>0</v>
      </c>
      <c r="AM113" s="58">
        <f t="shared" si="26"/>
        <v>0</v>
      </c>
      <c r="AN113" s="57">
        <f t="shared" si="27"/>
        <v>0</v>
      </c>
      <c r="AO113" s="432">
        <f t="shared" si="28"/>
        <v>0</v>
      </c>
      <c r="AP113" s="90">
        <f>_xlfn.IFERROR(IF(Simulador!$U$30=1,0,IF($AK113&lt;=0,0,$AK113*Simulador!$AA$43)),0)+_xlfn.IFERROR(IF(Simulador!$U$30=1,0,IF($AK113&lt;=0,0,IF(Simulador!$D$22&gt;0,Simulador!$D$22,Simulador!$O$24)*Simulador!$AA$44)),0)</f>
        <v>0</v>
      </c>
      <c r="AQ113" s="90">
        <f t="shared" si="31"/>
        <v>0</v>
      </c>
      <c r="AR113" s="26">
        <f t="shared" si="43"/>
        <v>0</v>
      </c>
      <c r="AS113">
        <f t="shared" si="38"/>
        <v>0</v>
      </c>
      <c r="AT113" s="549">
        <f t="shared" si="44"/>
      </c>
      <c r="AU113" s="404">
        <f t="shared" si="39"/>
        <v>0</v>
      </c>
      <c r="AV113" s="52">
        <v>99</v>
      </c>
      <c r="AW113" s="27"/>
      <c r="AX113" s="424"/>
      <c r="AZ113" s="52"/>
    </row>
    <row r="114" spans="1:52" ht="12.75">
      <c r="A114" s="503">
        <v>100</v>
      </c>
      <c r="B114" s="89">
        <f t="shared" si="40"/>
        <v>0</v>
      </c>
      <c r="C114" s="89"/>
      <c r="D114" s="90">
        <f>IF(B114+F114-D113&lt;=0,B114+F114,IF(AND(OR(Simulador!$U$39=2,Simulador!$U$39=7),J113=0),_xlfn.IFERROR((((P114/360*AU114)/(1-(1+(P114/360*AU114))^-AS114))*B114)*(1+AA114),0),IF($AF$3=2,B114*AJ114,_xlfn.IFERROR((((P114/360*AU114)/(1-(1+(P114/360*AU114))^-AS114))*B114)*(1+AA114),0))))</f>
        <v>0</v>
      </c>
      <c r="E114" s="90"/>
      <c r="F114" s="90">
        <f t="shared" si="32"/>
        <v>0</v>
      </c>
      <c r="G114" s="90"/>
      <c r="H114" s="90">
        <f t="shared" si="41"/>
        <v>0</v>
      </c>
      <c r="I114" s="91"/>
      <c r="J114" s="92"/>
      <c r="K114" s="91"/>
      <c r="L114" s="90">
        <f>IF(Simulador!$T$41=1,0,J114*Simulador!$W$39*1.16)</f>
        <v>0</v>
      </c>
      <c r="M114" s="90"/>
      <c r="N114" s="93">
        <f>IF(B114-H114=0,0,N112)</f>
        <v>0</v>
      </c>
      <c r="O114" s="12"/>
      <c r="P114" s="544">
        <f t="shared" si="42"/>
        <v>0</v>
      </c>
      <c r="Q114" s="4"/>
      <c r="R114" s="90">
        <f t="shared" si="33"/>
        <v>0</v>
      </c>
      <c r="S114" s="90"/>
      <c r="T114" s="90">
        <f>_xlfn.IFERROR(IF(Simulador!$U$30=1,0,IF($B114&lt;=0,0,$B114*Simulador!$AA$43)),0)</f>
        <v>0</v>
      </c>
      <c r="U114" s="90"/>
      <c r="V114" s="90">
        <f>_xlfn.IFERROR(IF(Simulador!$U$30=1,0,IF($B114&lt;=0,0,IF(Simulador!$D$22&gt;0,Simulador!$D$22,Simulador!$O$24)*Simulador!$AA$44)),0)</f>
        <v>0</v>
      </c>
      <c r="W114" s="90"/>
      <c r="X114" s="90"/>
      <c r="Y114" s="90">
        <f t="shared" si="29"/>
        <v>0</v>
      </c>
      <c r="Z114" s="13"/>
      <c r="AA114" s="18"/>
      <c r="AB114" s="23"/>
      <c r="AC114" s="364"/>
      <c r="AD114" s="222">
        <v>8</v>
      </c>
      <c r="AE114" s="219">
        <v>4</v>
      </c>
      <c r="AF114" s="269">
        <f t="shared" si="34"/>
        <v>0</v>
      </c>
      <c r="AG114" s="209">
        <f t="shared" si="35"/>
        <v>0</v>
      </c>
      <c r="AH114" s="209">
        <f t="shared" si="36"/>
        <v>0</v>
      </c>
      <c r="AI114" s="219">
        <f t="shared" si="30"/>
        <v>0</v>
      </c>
      <c r="AJ114" s="425">
        <f t="shared" si="37"/>
        <v>0</v>
      </c>
      <c r="AK114" s="57">
        <f t="shared" si="24"/>
        <v>0</v>
      </c>
      <c r="AL114" s="90">
        <f t="shared" si="25"/>
        <v>0</v>
      </c>
      <c r="AM114" s="58">
        <f t="shared" si="26"/>
        <v>0</v>
      </c>
      <c r="AN114" s="57">
        <f t="shared" si="27"/>
        <v>0</v>
      </c>
      <c r="AO114" s="432">
        <f t="shared" si="28"/>
        <v>0</v>
      </c>
      <c r="AP114" s="90">
        <f>_xlfn.IFERROR(IF(Simulador!$U$30=1,0,IF($AK114&lt;=0,0,$AK114*Simulador!$AA$43)),0)+_xlfn.IFERROR(IF(Simulador!$U$30=1,0,IF($AK114&lt;=0,0,IF(Simulador!$D$22&gt;0,Simulador!$D$22,Simulador!$O$24)*Simulador!$AA$44)),0)</f>
        <v>0</v>
      </c>
      <c r="AQ114" s="90">
        <f t="shared" si="31"/>
        <v>0</v>
      </c>
      <c r="AR114" s="26">
        <f t="shared" si="43"/>
        <v>0</v>
      </c>
      <c r="AS114">
        <f t="shared" si="38"/>
        <v>0</v>
      </c>
      <c r="AT114" s="549">
        <f t="shared" si="44"/>
      </c>
      <c r="AU114" s="404">
        <f t="shared" si="39"/>
        <v>0</v>
      </c>
      <c r="AV114" s="52">
        <v>100</v>
      </c>
      <c r="AW114" s="27"/>
      <c r="AX114" s="424"/>
      <c r="AZ114" s="52"/>
    </row>
    <row r="115" spans="1:52" ht="12.75">
      <c r="A115" s="503">
        <v>101</v>
      </c>
      <c r="B115" s="89">
        <f t="shared" si="40"/>
        <v>0</v>
      </c>
      <c r="C115" s="89"/>
      <c r="D115" s="90">
        <f>IF(B115+F115-D114&lt;=0,B115+F115,IF(AND(OR(Simulador!$U$39=2,Simulador!$U$39=7),J114=0),_xlfn.IFERROR((((P115/360*AU115)/(1-(1+(P115/360*AU115))^-AS115))*B115)*(1+AA115),0),IF($AF$3=2,B115*AJ115,_xlfn.IFERROR((((P115/360*AU115)/(1-(1+(P115/360*AU115))^-AS115))*B115)*(1+AA115),0))))</f>
        <v>0</v>
      </c>
      <c r="E115" s="90"/>
      <c r="F115" s="90">
        <f t="shared" si="32"/>
        <v>0</v>
      </c>
      <c r="G115" s="90"/>
      <c r="H115" s="90">
        <f t="shared" si="41"/>
        <v>0</v>
      </c>
      <c r="I115" s="91"/>
      <c r="J115" s="92"/>
      <c r="K115" s="91"/>
      <c r="L115" s="90">
        <f>IF(Simulador!$T$41=1,0,J115*Simulador!$W$39*1.16)</f>
        <v>0</v>
      </c>
      <c r="M115" s="90"/>
      <c r="N115" s="94"/>
      <c r="O115" s="12"/>
      <c r="P115" s="544">
        <f t="shared" si="42"/>
        <v>0</v>
      </c>
      <c r="Q115" s="4"/>
      <c r="R115" s="90">
        <f t="shared" si="33"/>
        <v>0</v>
      </c>
      <c r="S115" s="90"/>
      <c r="T115" s="90">
        <f>_xlfn.IFERROR(IF(Simulador!$U$30=1,0,IF($B115&lt;=0,0,$B115*Simulador!$AA$43)),0)</f>
        <v>0</v>
      </c>
      <c r="U115" s="90"/>
      <c r="V115" s="90">
        <f>_xlfn.IFERROR(IF(Simulador!$U$30=1,0,IF($B115&lt;=0,0,IF(Simulador!$D$22&gt;0,Simulador!$D$22,Simulador!$O$24)*Simulador!$AA$44)),0)</f>
        <v>0</v>
      </c>
      <c r="W115" s="90"/>
      <c r="X115" s="90"/>
      <c r="Y115" s="90">
        <f t="shared" si="29"/>
        <v>0</v>
      </c>
      <c r="Z115" s="13"/>
      <c r="AA115" s="18"/>
      <c r="AB115" s="23"/>
      <c r="AC115" s="364"/>
      <c r="AD115" s="222">
        <v>8</v>
      </c>
      <c r="AE115" s="219">
        <v>5</v>
      </c>
      <c r="AF115" s="269">
        <f t="shared" si="34"/>
        <v>0</v>
      </c>
      <c r="AG115" s="209">
        <f t="shared" si="35"/>
        <v>0</v>
      </c>
      <c r="AH115" s="209">
        <f t="shared" si="36"/>
        <v>0</v>
      </c>
      <c r="AI115" s="219">
        <f t="shared" si="30"/>
        <v>0</v>
      </c>
      <c r="AJ115" s="425">
        <f t="shared" si="37"/>
        <v>0</v>
      </c>
      <c r="AK115" s="57">
        <f t="shared" si="24"/>
        <v>0</v>
      </c>
      <c r="AL115" s="90">
        <f t="shared" si="25"/>
        <v>0</v>
      </c>
      <c r="AM115" s="58">
        <f t="shared" si="26"/>
        <v>0</v>
      </c>
      <c r="AN115" s="57">
        <f t="shared" si="27"/>
        <v>0</v>
      </c>
      <c r="AO115" s="432">
        <f t="shared" si="28"/>
        <v>0</v>
      </c>
      <c r="AP115" s="90">
        <f>_xlfn.IFERROR(IF(Simulador!$U$30=1,0,IF($AK115&lt;=0,0,$AK115*Simulador!$AA$43)),0)+_xlfn.IFERROR(IF(Simulador!$U$30=1,0,IF($AK115&lt;=0,0,IF(Simulador!$D$22&gt;0,Simulador!$D$22,Simulador!$O$24)*Simulador!$AA$44)),0)</f>
        <v>0</v>
      </c>
      <c r="AQ115" s="90">
        <f t="shared" si="31"/>
        <v>0</v>
      </c>
      <c r="AR115" s="26">
        <f t="shared" si="43"/>
        <v>0</v>
      </c>
      <c r="AS115">
        <f t="shared" si="38"/>
        <v>0</v>
      </c>
      <c r="AT115" s="549">
        <f t="shared" si="44"/>
      </c>
      <c r="AU115" s="404">
        <f t="shared" si="39"/>
        <v>0</v>
      </c>
      <c r="AV115" s="52">
        <v>101</v>
      </c>
      <c r="AW115" s="27"/>
      <c r="AX115" s="424"/>
      <c r="AZ115" s="52"/>
    </row>
    <row r="116" spans="1:52" ht="12.75">
      <c r="A116" s="503">
        <v>102</v>
      </c>
      <c r="B116" s="89">
        <f t="shared" si="40"/>
        <v>0</v>
      </c>
      <c r="C116" s="89"/>
      <c r="D116" s="90">
        <f>IF(B116+F116-D115&lt;=0,B116+F116,IF(AND(OR(Simulador!$U$39=2,Simulador!$U$39=7),J115=0),_xlfn.IFERROR((((P116/360*AU116)/(1-(1+(P116/360*AU116))^-AS116))*B116)*(1+AA116),0),IF($AF$3=2,B116*AJ116,_xlfn.IFERROR((((P116/360*AU116)/(1-(1+(P116/360*AU116))^-AS116))*B116)*(1+AA116),0))))</f>
        <v>0</v>
      </c>
      <c r="E116" s="90"/>
      <c r="F116" s="90">
        <f t="shared" si="32"/>
        <v>0</v>
      </c>
      <c r="G116" s="90"/>
      <c r="H116" s="90">
        <f t="shared" si="41"/>
        <v>0</v>
      </c>
      <c r="I116" s="91"/>
      <c r="J116" s="92"/>
      <c r="K116" s="91"/>
      <c r="L116" s="90">
        <f>IF(Simulador!$T$41=1,0,J116*Simulador!$W$39*1.16)</f>
        <v>0</v>
      </c>
      <c r="M116" s="90"/>
      <c r="N116" s="93">
        <f>IF(B116-H116=0,0,N114)</f>
        <v>0</v>
      </c>
      <c r="O116" s="12"/>
      <c r="P116" s="544">
        <f t="shared" si="42"/>
        <v>0</v>
      </c>
      <c r="Q116" s="4"/>
      <c r="R116" s="90">
        <f t="shared" si="33"/>
        <v>0</v>
      </c>
      <c r="S116" s="90"/>
      <c r="T116" s="90">
        <f>_xlfn.IFERROR(IF(Simulador!$U$30=1,0,IF($B116&lt;=0,0,$B116*Simulador!$AA$43)),0)</f>
        <v>0</v>
      </c>
      <c r="U116" s="90"/>
      <c r="V116" s="90">
        <f>_xlfn.IFERROR(IF(Simulador!$U$30=1,0,IF($B116&lt;=0,0,IF(Simulador!$D$22&gt;0,Simulador!$D$22,Simulador!$O$24)*Simulador!$AA$44)),0)</f>
        <v>0</v>
      </c>
      <c r="W116" s="90"/>
      <c r="X116" s="90"/>
      <c r="Y116" s="90">
        <f t="shared" si="29"/>
        <v>0</v>
      </c>
      <c r="Z116" s="13"/>
      <c r="AA116" s="18"/>
      <c r="AB116" s="23"/>
      <c r="AC116" s="364"/>
      <c r="AD116" s="222">
        <v>8</v>
      </c>
      <c r="AE116" s="219">
        <v>6</v>
      </c>
      <c r="AF116" s="269">
        <f t="shared" si="34"/>
        <v>0</v>
      </c>
      <c r="AG116" s="209">
        <f t="shared" si="35"/>
        <v>0</v>
      </c>
      <c r="AH116" s="209">
        <f t="shared" si="36"/>
        <v>0</v>
      </c>
      <c r="AI116" s="219">
        <f t="shared" si="30"/>
        <v>0</v>
      </c>
      <c r="AJ116" s="425">
        <f t="shared" si="37"/>
        <v>0</v>
      </c>
      <c r="AK116" s="57">
        <f t="shared" si="24"/>
        <v>0</v>
      </c>
      <c r="AL116" s="90">
        <f t="shared" si="25"/>
        <v>0</v>
      </c>
      <c r="AM116" s="58">
        <f t="shared" si="26"/>
        <v>0</v>
      </c>
      <c r="AN116" s="57">
        <f t="shared" si="27"/>
        <v>0</v>
      </c>
      <c r="AO116" s="432">
        <f t="shared" si="28"/>
        <v>0</v>
      </c>
      <c r="AP116" s="90">
        <f>_xlfn.IFERROR(IF(Simulador!$U$30=1,0,IF($AK116&lt;=0,0,$AK116*Simulador!$AA$43)),0)+_xlfn.IFERROR(IF(Simulador!$U$30=1,0,IF($AK116&lt;=0,0,IF(Simulador!$D$22&gt;0,Simulador!$D$22,Simulador!$O$24)*Simulador!$AA$44)),0)</f>
        <v>0</v>
      </c>
      <c r="AQ116" s="90">
        <f t="shared" si="31"/>
        <v>0</v>
      </c>
      <c r="AR116" s="26">
        <f t="shared" si="43"/>
        <v>0</v>
      </c>
      <c r="AS116">
        <f t="shared" si="38"/>
        <v>0</v>
      </c>
      <c r="AT116" s="549">
        <f t="shared" si="44"/>
      </c>
      <c r="AU116" s="404">
        <f t="shared" si="39"/>
        <v>0</v>
      </c>
      <c r="AV116" s="52">
        <v>102</v>
      </c>
      <c r="AW116" s="27"/>
      <c r="AX116" s="424"/>
      <c r="AZ116" s="52"/>
    </row>
    <row r="117" spans="1:52" ht="12.75">
      <c r="A117" s="503">
        <v>103</v>
      </c>
      <c r="B117" s="89">
        <f t="shared" si="40"/>
        <v>0</v>
      </c>
      <c r="C117" s="89"/>
      <c r="D117" s="90">
        <f>IF(B117+F117-D116&lt;=0,B117+F117,IF(AND(OR(Simulador!$U$39=2,Simulador!$U$39=7),J116=0),_xlfn.IFERROR((((P117/360*AU117)/(1-(1+(P117/360*AU117))^-AS117))*B117)*(1+AA117),0),IF($AF$3=2,B117*AJ117,_xlfn.IFERROR((((P117/360*AU117)/(1-(1+(P117/360*AU117))^-AS117))*B117)*(1+AA117),0))))</f>
        <v>0</v>
      </c>
      <c r="E117" s="90"/>
      <c r="F117" s="90">
        <f t="shared" si="32"/>
        <v>0</v>
      </c>
      <c r="G117" s="90"/>
      <c r="H117" s="90">
        <f t="shared" si="41"/>
        <v>0</v>
      </c>
      <c r="I117" s="91"/>
      <c r="J117" s="92"/>
      <c r="K117" s="91"/>
      <c r="L117" s="90">
        <f>IF(Simulador!$T$41=1,0,J117*Simulador!$W$39*1.16)</f>
        <v>0</v>
      </c>
      <c r="M117" s="90"/>
      <c r="N117" s="94"/>
      <c r="O117" s="12"/>
      <c r="P117" s="544">
        <f t="shared" si="42"/>
        <v>0</v>
      </c>
      <c r="Q117" s="4"/>
      <c r="R117" s="90">
        <f t="shared" si="33"/>
        <v>0</v>
      </c>
      <c r="S117" s="90"/>
      <c r="T117" s="90">
        <f>_xlfn.IFERROR(IF(Simulador!$U$30=1,0,IF($B117&lt;=0,0,$B117*Simulador!$AA$43)),0)</f>
        <v>0</v>
      </c>
      <c r="U117" s="90"/>
      <c r="V117" s="90">
        <f>_xlfn.IFERROR(IF(Simulador!$U$30=1,0,IF($B117&lt;=0,0,IF(Simulador!$D$22&gt;0,Simulador!$D$22,Simulador!$O$24)*Simulador!$AA$44)),0)</f>
        <v>0</v>
      </c>
      <c r="W117" s="90"/>
      <c r="X117" s="90"/>
      <c r="Y117" s="90">
        <f t="shared" si="29"/>
        <v>0</v>
      </c>
      <c r="Z117" s="13"/>
      <c r="AA117" s="18"/>
      <c r="AB117" s="23"/>
      <c r="AC117" s="364"/>
      <c r="AD117" s="222">
        <v>8</v>
      </c>
      <c r="AE117" s="219">
        <v>7</v>
      </c>
      <c r="AF117" s="269">
        <f t="shared" si="34"/>
        <v>0</v>
      </c>
      <c r="AG117" s="209">
        <f t="shared" si="35"/>
        <v>0</v>
      </c>
      <c r="AH117" s="209">
        <f t="shared" si="36"/>
        <v>0</v>
      </c>
      <c r="AI117" s="219">
        <f t="shared" si="30"/>
        <v>0</v>
      </c>
      <c r="AJ117" s="425">
        <f t="shared" si="37"/>
        <v>0</v>
      </c>
      <c r="AK117" s="57">
        <f t="shared" si="24"/>
        <v>0</v>
      </c>
      <c r="AL117" s="90">
        <f t="shared" si="25"/>
        <v>0</v>
      </c>
      <c r="AM117" s="58">
        <f t="shared" si="26"/>
        <v>0</v>
      </c>
      <c r="AN117" s="57">
        <f t="shared" si="27"/>
        <v>0</v>
      </c>
      <c r="AO117" s="432">
        <f t="shared" si="28"/>
        <v>0</v>
      </c>
      <c r="AP117" s="90">
        <f>_xlfn.IFERROR(IF(Simulador!$U$30=1,0,IF($AK117&lt;=0,0,$AK117*Simulador!$AA$43)),0)+_xlfn.IFERROR(IF(Simulador!$U$30=1,0,IF($AK117&lt;=0,0,IF(Simulador!$D$22&gt;0,Simulador!$D$22,Simulador!$O$24)*Simulador!$AA$44)),0)</f>
        <v>0</v>
      </c>
      <c r="AQ117" s="90">
        <f t="shared" si="31"/>
        <v>0</v>
      </c>
      <c r="AR117" s="26">
        <f t="shared" si="43"/>
        <v>0</v>
      </c>
      <c r="AS117">
        <f t="shared" si="38"/>
        <v>0</v>
      </c>
      <c r="AT117" s="549">
        <f t="shared" si="44"/>
      </c>
      <c r="AU117" s="404">
        <f t="shared" si="39"/>
        <v>0</v>
      </c>
      <c r="AV117" s="52">
        <v>103</v>
      </c>
      <c r="AW117" s="27"/>
      <c r="AX117" s="424"/>
      <c r="AZ117" s="52"/>
    </row>
    <row r="118" spans="1:52" ht="12.75">
      <c r="A118" s="503">
        <v>104</v>
      </c>
      <c r="B118" s="89">
        <f t="shared" si="40"/>
        <v>0</v>
      </c>
      <c r="C118" s="89"/>
      <c r="D118" s="90">
        <f>IF(B118+F118-D117&lt;=0,B118+F118,IF(AND(OR(Simulador!$U$39=2,Simulador!$U$39=7),J117=0),_xlfn.IFERROR((((P118/360*AU118)/(1-(1+(P118/360*AU118))^-AS118))*B118)*(1+AA118),0),IF($AF$3=2,B118*AJ118,_xlfn.IFERROR((((P118/360*AU118)/(1-(1+(P118/360*AU118))^-AS118))*B118)*(1+AA118),0))))</f>
        <v>0</v>
      </c>
      <c r="E118" s="90"/>
      <c r="F118" s="90">
        <f t="shared" si="32"/>
        <v>0</v>
      </c>
      <c r="G118" s="90"/>
      <c r="H118" s="90">
        <f t="shared" si="41"/>
        <v>0</v>
      </c>
      <c r="I118" s="91"/>
      <c r="J118" s="92"/>
      <c r="K118" s="91"/>
      <c r="L118" s="90">
        <f>IF(Simulador!$T$41=1,0,J118*Simulador!$W$39*1.16)</f>
        <v>0</v>
      </c>
      <c r="M118" s="90"/>
      <c r="N118" s="93">
        <f>IF(B118-H118=0,0,N116)</f>
        <v>0</v>
      </c>
      <c r="O118" s="12"/>
      <c r="P118" s="544">
        <f t="shared" si="42"/>
        <v>0</v>
      </c>
      <c r="Q118" s="4"/>
      <c r="R118" s="90">
        <f t="shared" si="33"/>
        <v>0</v>
      </c>
      <c r="S118" s="90"/>
      <c r="T118" s="90">
        <f>_xlfn.IFERROR(IF(Simulador!$U$30=1,0,IF($B118&lt;=0,0,$B118*Simulador!$AA$43)),0)</f>
        <v>0</v>
      </c>
      <c r="U118" s="90"/>
      <c r="V118" s="90">
        <f>_xlfn.IFERROR(IF(Simulador!$U$30=1,0,IF($B118&lt;=0,0,IF(Simulador!$D$22&gt;0,Simulador!$D$22,Simulador!$O$24)*Simulador!$AA$44)),0)</f>
        <v>0</v>
      </c>
      <c r="W118" s="90"/>
      <c r="X118" s="90"/>
      <c r="Y118" s="90">
        <f t="shared" si="29"/>
        <v>0</v>
      </c>
      <c r="Z118" s="13"/>
      <c r="AA118" s="18"/>
      <c r="AB118" s="23"/>
      <c r="AC118" s="364"/>
      <c r="AD118" s="222">
        <v>8</v>
      </c>
      <c r="AE118" s="219">
        <v>8</v>
      </c>
      <c r="AF118" s="269">
        <f t="shared" si="34"/>
        <v>0</v>
      </c>
      <c r="AG118" s="209">
        <f t="shared" si="35"/>
        <v>0</v>
      </c>
      <c r="AH118" s="209">
        <f t="shared" si="36"/>
        <v>0</v>
      </c>
      <c r="AI118" s="219">
        <f t="shared" si="30"/>
        <v>0</v>
      </c>
      <c r="AJ118" s="425">
        <f t="shared" si="37"/>
        <v>0</v>
      </c>
      <c r="AK118" s="57">
        <f t="shared" si="24"/>
        <v>0</v>
      </c>
      <c r="AL118" s="90">
        <f t="shared" si="25"/>
        <v>0</v>
      </c>
      <c r="AM118" s="58">
        <f t="shared" si="26"/>
        <v>0</v>
      </c>
      <c r="AN118" s="57">
        <f t="shared" si="27"/>
        <v>0</v>
      </c>
      <c r="AO118" s="432">
        <f t="shared" si="28"/>
        <v>0</v>
      </c>
      <c r="AP118" s="90">
        <f>_xlfn.IFERROR(IF(Simulador!$U$30=1,0,IF($AK118&lt;=0,0,$AK118*Simulador!$AA$43)),0)+_xlfn.IFERROR(IF(Simulador!$U$30=1,0,IF($AK118&lt;=0,0,IF(Simulador!$D$22&gt;0,Simulador!$D$22,Simulador!$O$24)*Simulador!$AA$44)),0)</f>
        <v>0</v>
      </c>
      <c r="AQ118" s="90">
        <f t="shared" si="31"/>
        <v>0</v>
      </c>
      <c r="AR118" s="26">
        <f t="shared" si="43"/>
        <v>0</v>
      </c>
      <c r="AS118">
        <f t="shared" si="38"/>
        <v>0</v>
      </c>
      <c r="AT118" s="549">
        <f t="shared" si="44"/>
      </c>
      <c r="AU118" s="404">
        <f t="shared" si="39"/>
        <v>0</v>
      </c>
      <c r="AV118" s="52">
        <v>104</v>
      </c>
      <c r="AW118" s="27"/>
      <c r="AX118" s="424"/>
      <c r="AZ118" s="52"/>
    </row>
    <row r="119" spans="1:52" ht="12.75">
      <c r="A119" s="503">
        <v>105</v>
      </c>
      <c r="B119" s="89">
        <f t="shared" si="40"/>
        <v>0</v>
      </c>
      <c r="C119" s="89"/>
      <c r="D119" s="90">
        <f>IF(B119+F119-D118&lt;=0,B119+F119,IF(AND(OR(Simulador!$U$39=2,Simulador!$U$39=7),J118=0),_xlfn.IFERROR((((P119/360*AU119)/(1-(1+(P119/360*AU119))^-AS119))*B119)*(1+AA119),0),IF($AF$3=2,B119*AJ119,_xlfn.IFERROR((((P119/360*AU119)/(1-(1+(P119/360*AU119))^-AS119))*B119)*(1+AA119),0))))</f>
        <v>0</v>
      </c>
      <c r="E119" s="90"/>
      <c r="F119" s="90">
        <f t="shared" si="32"/>
        <v>0</v>
      </c>
      <c r="G119" s="90"/>
      <c r="H119" s="90">
        <f t="shared" si="41"/>
        <v>0</v>
      </c>
      <c r="I119" s="91"/>
      <c r="J119" s="92"/>
      <c r="K119" s="91"/>
      <c r="L119" s="90">
        <f>IF(Simulador!$T$41=1,0,J119*Simulador!$W$39*1.16)</f>
        <v>0</v>
      </c>
      <c r="M119" s="90"/>
      <c r="N119" s="94"/>
      <c r="O119" s="12"/>
      <c r="P119" s="544">
        <f t="shared" si="42"/>
        <v>0</v>
      </c>
      <c r="Q119" s="4"/>
      <c r="R119" s="90">
        <f t="shared" si="33"/>
        <v>0</v>
      </c>
      <c r="S119" s="90"/>
      <c r="T119" s="90">
        <f>_xlfn.IFERROR(IF(Simulador!$U$30=1,0,IF($B119&lt;=0,0,$B119*Simulador!$AA$43)),0)</f>
        <v>0</v>
      </c>
      <c r="U119" s="90"/>
      <c r="V119" s="90">
        <f>_xlfn.IFERROR(IF(Simulador!$U$30=1,0,IF($B119&lt;=0,0,IF(Simulador!$D$22&gt;0,Simulador!$D$22,Simulador!$O$24)*Simulador!$AA$44)),0)</f>
        <v>0</v>
      </c>
      <c r="W119" s="90"/>
      <c r="X119" s="90"/>
      <c r="Y119" s="90">
        <f t="shared" si="29"/>
        <v>0</v>
      </c>
      <c r="Z119" s="13"/>
      <c r="AA119" s="18"/>
      <c r="AB119" s="23"/>
      <c r="AC119" s="364"/>
      <c r="AD119" s="222">
        <v>8</v>
      </c>
      <c r="AE119" s="221">
        <v>9</v>
      </c>
      <c r="AF119" s="269">
        <f t="shared" si="34"/>
        <v>0</v>
      </c>
      <c r="AG119" s="209">
        <f t="shared" si="35"/>
        <v>0</v>
      </c>
      <c r="AH119" s="209">
        <f t="shared" si="36"/>
        <v>0</v>
      </c>
      <c r="AI119" s="219">
        <f t="shared" si="30"/>
        <v>0</v>
      </c>
      <c r="AJ119" s="425">
        <f t="shared" si="37"/>
        <v>0</v>
      </c>
      <c r="AK119" s="57">
        <f t="shared" si="24"/>
        <v>0</v>
      </c>
      <c r="AL119" s="90">
        <f t="shared" si="25"/>
        <v>0</v>
      </c>
      <c r="AM119" s="58">
        <f t="shared" si="26"/>
        <v>0</v>
      </c>
      <c r="AN119" s="57">
        <f t="shared" si="27"/>
        <v>0</v>
      </c>
      <c r="AO119" s="432">
        <f t="shared" si="28"/>
        <v>0</v>
      </c>
      <c r="AP119" s="90">
        <f>_xlfn.IFERROR(IF(Simulador!$U$30=1,0,IF($AK119&lt;=0,0,$AK119*Simulador!$AA$43)),0)+_xlfn.IFERROR(IF(Simulador!$U$30=1,0,IF($AK119&lt;=0,0,IF(Simulador!$D$22&gt;0,Simulador!$D$22,Simulador!$O$24)*Simulador!$AA$44)),0)</f>
        <v>0</v>
      </c>
      <c r="AQ119" s="90">
        <f t="shared" si="31"/>
        <v>0</v>
      </c>
      <c r="AR119" s="26">
        <f t="shared" si="43"/>
        <v>0</v>
      </c>
      <c r="AS119">
        <f t="shared" si="38"/>
        <v>0</v>
      </c>
      <c r="AT119" s="549">
        <f t="shared" si="44"/>
      </c>
      <c r="AU119" s="404">
        <f t="shared" si="39"/>
        <v>0</v>
      </c>
      <c r="AV119" s="52">
        <v>105</v>
      </c>
      <c r="AW119" s="27"/>
      <c r="AX119" s="424"/>
      <c r="AZ119" s="52"/>
    </row>
    <row r="120" spans="1:52" ht="12.75">
      <c r="A120" s="503">
        <v>106</v>
      </c>
      <c r="B120" s="89">
        <f t="shared" si="40"/>
        <v>0</v>
      </c>
      <c r="C120" s="89"/>
      <c r="D120" s="90">
        <f>IF(B120+F120-D119&lt;=0,B120+F120,IF(AND(OR(Simulador!$U$39=2,Simulador!$U$39=7),J119=0),_xlfn.IFERROR((((P120/360*AU120)/(1-(1+(P120/360*AU120))^-AS120))*B120)*(1+AA120),0),IF($AF$3=2,B120*AJ120,_xlfn.IFERROR((((P120/360*AU120)/(1-(1+(P120/360*AU120))^-AS120))*B120)*(1+AA120),0))))</f>
        <v>0</v>
      </c>
      <c r="E120" s="90"/>
      <c r="F120" s="90">
        <f t="shared" si="32"/>
        <v>0</v>
      </c>
      <c r="G120" s="90"/>
      <c r="H120" s="90">
        <f t="shared" si="41"/>
        <v>0</v>
      </c>
      <c r="I120" s="91"/>
      <c r="J120" s="92"/>
      <c r="K120" s="91"/>
      <c r="L120" s="90">
        <f>IF(Simulador!$T$41=1,0,J120*Simulador!$W$39*1.16)</f>
        <v>0</v>
      </c>
      <c r="M120" s="90"/>
      <c r="N120" s="93">
        <f>IF(B120-H120=0,0,N118)</f>
        <v>0</v>
      </c>
      <c r="O120" s="12"/>
      <c r="P120" s="544">
        <f t="shared" si="42"/>
        <v>0</v>
      </c>
      <c r="Q120" s="4"/>
      <c r="R120" s="90">
        <f t="shared" si="33"/>
        <v>0</v>
      </c>
      <c r="S120" s="90"/>
      <c r="T120" s="90">
        <f>_xlfn.IFERROR(IF(Simulador!$U$30=1,0,IF($B120&lt;=0,0,$B120*Simulador!$AA$43)),0)</f>
        <v>0</v>
      </c>
      <c r="U120" s="90"/>
      <c r="V120" s="90">
        <f>_xlfn.IFERROR(IF(Simulador!$U$30=1,0,IF($B120&lt;=0,0,IF(Simulador!$D$22&gt;0,Simulador!$D$22,Simulador!$O$24)*Simulador!$AA$44)),0)</f>
        <v>0</v>
      </c>
      <c r="W120" s="90"/>
      <c r="X120" s="90"/>
      <c r="Y120" s="90">
        <f t="shared" si="29"/>
        <v>0</v>
      </c>
      <c r="Z120" s="13"/>
      <c r="AA120" s="18"/>
      <c r="AB120" s="23"/>
      <c r="AC120" s="364"/>
      <c r="AD120" s="222">
        <v>8</v>
      </c>
      <c r="AE120" s="221">
        <v>10</v>
      </c>
      <c r="AF120" s="269">
        <f t="shared" si="34"/>
        <v>0</v>
      </c>
      <c r="AG120" s="209">
        <f t="shared" si="35"/>
        <v>0</v>
      </c>
      <c r="AH120" s="209">
        <f t="shared" si="36"/>
        <v>0</v>
      </c>
      <c r="AI120" s="219">
        <f t="shared" si="30"/>
        <v>0</v>
      </c>
      <c r="AJ120" s="425">
        <f t="shared" si="37"/>
        <v>0</v>
      </c>
      <c r="AK120" s="57">
        <f t="shared" si="24"/>
        <v>0</v>
      </c>
      <c r="AL120" s="90">
        <f t="shared" si="25"/>
        <v>0</v>
      </c>
      <c r="AM120" s="58">
        <f t="shared" si="26"/>
        <v>0</v>
      </c>
      <c r="AN120" s="57">
        <f t="shared" si="27"/>
        <v>0</v>
      </c>
      <c r="AO120" s="432">
        <f t="shared" si="28"/>
        <v>0</v>
      </c>
      <c r="AP120" s="90">
        <f>_xlfn.IFERROR(IF(Simulador!$U$30=1,0,IF($AK120&lt;=0,0,$AK120*Simulador!$AA$43)),0)+_xlfn.IFERROR(IF(Simulador!$U$30=1,0,IF($AK120&lt;=0,0,IF(Simulador!$D$22&gt;0,Simulador!$D$22,Simulador!$O$24)*Simulador!$AA$44)),0)</f>
        <v>0</v>
      </c>
      <c r="AQ120" s="90">
        <f t="shared" si="31"/>
        <v>0</v>
      </c>
      <c r="AR120" s="26">
        <f t="shared" si="43"/>
        <v>0</v>
      </c>
      <c r="AS120">
        <f t="shared" si="38"/>
        <v>0</v>
      </c>
      <c r="AT120" s="549">
        <f t="shared" si="44"/>
      </c>
      <c r="AU120" s="404">
        <f t="shared" si="39"/>
        <v>0</v>
      </c>
      <c r="AV120" s="52">
        <v>106</v>
      </c>
      <c r="AW120" s="27"/>
      <c r="AX120" s="424"/>
      <c r="AZ120" s="52"/>
    </row>
    <row r="121" spans="1:52" ht="12.75">
      <c r="A121" s="503">
        <v>107</v>
      </c>
      <c r="B121" s="89">
        <f t="shared" si="40"/>
        <v>0</v>
      </c>
      <c r="C121" s="89"/>
      <c r="D121" s="90">
        <f>IF(B121+F121-D120&lt;=0,B121+F121,IF(AND(OR(Simulador!$U$39=2,Simulador!$U$39=7),J120=0),_xlfn.IFERROR((((P121/360*AU121)/(1-(1+(P121/360*AU121))^-AS121))*B121)*(1+AA121),0),IF($AF$3=2,B121*AJ121,_xlfn.IFERROR((((P121/360*AU121)/(1-(1+(P121/360*AU121))^-AS121))*B121)*(1+AA121),0))))</f>
        <v>0</v>
      </c>
      <c r="E121" s="90"/>
      <c r="F121" s="90">
        <f t="shared" si="32"/>
        <v>0</v>
      </c>
      <c r="G121" s="90"/>
      <c r="H121" s="90">
        <f t="shared" si="41"/>
        <v>0</v>
      </c>
      <c r="I121" s="91"/>
      <c r="J121" s="92"/>
      <c r="K121" s="91"/>
      <c r="L121" s="90">
        <f>IF(Simulador!$T$41=1,0,J121*Simulador!$W$39*1.16)</f>
        <v>0</v>
      </c>
      <c r="M121" s="90"/>
      <c r="N121" s="94"/>
      <c r="O121" s="12"/>
      <c r="P121" s="544">
        <f t="shared" si="42"/>
        <v>0</v>
      </c>
      <c r="Q121" s="4"/>
      <c r="R121" s="90">
        <f t="shared" si="33"/>
        <v>0</v>
      </c>
      <c r="S121" s="90"/>
      <c r="T121" s="90">
        <f>_xlfn.IFERROR(IF(Simulador!$U$30=1,0,IF($B121&lt;=0,0,$B121*Simulador!$AA$43)),0)</f>
        <v>0</v>
      </c>
      <c r="U121" s="90"/>
      <c r="V121" s="90">
        <f>_xlfn.IFERROR(IF(Simulador!$U$30=1,0,IF($B121&lt;=0,0,IF(Simulador!$D$22&gt;0,Simulador!$D$22,Simulador!$O$24)*Simulador!$AA$44)),0)</f>
        <v>0</v>
      </c>
      <c r="W121" s="90"/>
      <c r="X121" s="90"/>
      <c r="Y121" s="90">
        <f t="shared" si="29"/>
        <v>0</v>
      </c>
      <c r="Z121" s="13"/>
      <c r="AA121" s="18"/>
      <c r="AB121" s="23"/>
      <c r="AC121" s="364"/>
      <c r="AD121" s="222">
        <v>8</v>
      </c>
      <c r="AE121" s="219">
        <v>11</v>
      </c>
      <c r="AF121" s="269">
        <f t="shared" si="34"/>
        <v>0</v>
      </c>
      <c r="AG121" s="209">
        <f t="shared" si="35"/>
        <v>0</v>
      </c>
      <c r="AH121" s="209">
        <f t="shared" si="36"/>
        <v>0</v>
      </c>
      <c r="AI121" s="219">
        <f t="shared" si="30"/>
        <v>0</v>
      </c>
      <c r="AJ121" s="425">
        <f t="shared" si="37"/>
        <v>0</v>
      </c>
      <c r="AK121" s="57">
        <f t="shared" si="24"/>
        <v>0</v>
      </c>
      <c r="AL121" s="90">
        <f t="shared" si="25"/>
        <v>0</v>
      </c>
      <c r="AM121" s="58">
        <f t="shared" si="26"/>
        <v>0</v>
      </c>
      <c r="AN121" s="57">
        <f t="shared" si="27"/>
        <v>0</v>
      </c>
      <c r="AO121" s="432">
        <f t="shared" si="28"/>
        <v>0</v>
      </c>
      <c r="AP121" s="90">
        <f>_xlfn.IFERROR(IF(Simulador!$U$30=1,0,IF($AK121&lt;=0,0,$AK121*Simulador!$AA$43)),0)+_xlfn.IFERROR(IF(Simulador!$U$30=1,0,IF($AK121&lt;=0,0,IF(Simulador!$D$22&gt;0,Simulador!$D$22,Simulador!$O$24)*Simulador!$AA$44)),0)</f>
        <v>0</v>
      </c>
      <c r="AQ121" s="90">
        <f t="shared" si="31"/>
        <v>0</v>
      </c>
      <c r="AR121" s="26">
        <f t="shared" si="43"/>
        <v>0</v>
      </c>
      <c r="AS121">
        <f t="shared" si="38"/>
        <v>0</v>
      </c>
      <c r="AT121" s="549">
        <f t="shared" si="44"/>
      </c>
      <c r="AU121" s="404">
        <f t="shared" si="39"/>
        <v>0</v>
      </c>
      <c r="AV121" s="52">
        <v>107</v>
      </c>
      <c r="AW121" s="27"/>
      <c r="AX121" s="424"/>
      <c r="AZ121" s="52"/>
    </row>
    <row r="122" spans="1:52" ht="12.75">
      <c r="A122" s="503">
        <v>108</v>
      </c>
      <c r="B122" s="89">
        <f t="shared" si="40"/>
        <v>0</v>
      </c>
      <c r="C122" s="89"/>
      <c r="D122" s="90">
        <f>IF(B122+F122-D121&lt;=0,B122+F122,IF(AND(OR(Simulador!$U$39=2,Simulador!$U$39=7),J121=0),_xlfn.IFERROR((((P122/360*AU122)/(1-(1+(P122/360*AU122))^-AS122))*B122)*(1+AA122),0),IF($AF$3=2,B122*AJ122,_xlfn.IFERROR((((P122/360*AU122)/(1-(1+(P122/360*AU122))^-AS122))*B122)*(1+AA122),0))))</f>
        <v>0</v>
      </c>
      <c r="E122" s="90"/>
      <c r="F122" s="90">
        <f t="shared" si="32"/>
        <v>0</v>
      </c>
      <c r="G122" s="90"/>
      <c r="H122" s="90">
        <f t="shared" si="41"/>
        <v>0</v>
      </c>
      <c r="I122" s="91"/>
      <c r="J122" s="92"/>
      <c r="K122" s="91"/>
      <c r="L122" s="90">
        <f>IF(Simulador!$T$41=1,0,J122*Simulador!$W$39*1.16)</f>
        <v>0</v>
      </c>
      <c r="M122" s="90"/>
      <c r="N122" s="93">
        <f>IF(B122-H122=0,0,N120)</f>
        <v>0</v>
      </c>
      <c r="O122" s="12"/>
      <c r="P122" s="544">
        <f t="shared" si="42"/>
        <v>0</v>
      </c>
      <c r="Q122" s="4"/>
      <c r="R122" s="90">
        <f t="shared" si="33"/>
        <v>0</v>
      </c>
      <c r="S122" s="90"/>
      <c r="T122" s="90">
        <f>_xlfn.IFERROR(IF(Simulador!$U$30=1,0,IF($B122&lt;=0,0,$B122*Simulador!$AA$43)),0)</f>
        <v>0</v>
      </c>
      <c r="U122" s="90"/>
      <c r="V122" s="90">
        <f>_xlfn.IFERROR(IF(Simulador!$U$30=1,0,IF($B122&lt;=0,0,IF(Simulador!$D$22&gt;0,Simulador!$D$22,Simulador!$O$24)*Simulador!$AA$44)),0)</f>
        <v>0</v>
      </c>
      <c r="W122" s="90"/>
      <c r="X122" s="90"/>
      <c r="Y122" s="90">
        <f t="shared" si="29"/>
        <v>0</v>
      </c>
      <c r="Z122" s="13"/>
      <c r="AA122" s="18"/>
      <c r="AB122" s="23"/>
      <c r="AC122" s="364"/>
      <c r="AD122" s="222">
        <v>9</v>
      </c>
      <c r="AE122" s="219">
        <v>0</v>
      </c>
      <c r="AF122" s="269">
        <f t="shared" si="34"/>
        <v>0</v>
      </c>
      <c r="AG122" s="209">
        <f t="shared" si="35"/>
        <v>0</v>
      </c>
      <c r="AH122" s="209">
        <f t="shared" si="36"/>
        <v>0</v>
      </c>
      <c r="AI122" s="219">
        <f t="shared" si="30"/>
        <v>0</v>
      </c>
      <c r="AJ122" s="425">
        <f t="shared" si="37"/>
        <v>0</v>
      </c>
      <c r="AK122" s="57">
        <f t="shared" si="24"/>
        <v>0</v>
      </c>
      <c r="AL122" s="90">
        <f t="shared" si="25"/>
        <v>0</v>
      </c>
      <c r="AM122" s="58">
        <f t="shared" si="26"/>
        <v>0</v>
      </c>
      <c r="AN122" s="57">
        <f t="shared" si="27"/>
        <v>0</v>
      </c>
      <c r="AO122" s="432">
        <f t="shared" si="28"/>
        <v>0</v>
      </c>
      <c r="AP122" s="90">
        <f>_xlfn.IFERROR(IF(Simulador!$U$30=1,0,IF($AK122&lt;=0,0,$AK122*Simulador!$AA$43)),0)+_xlfn.IFERROR(IF(Simulador!$U$30=1,0,IF($AK122&lt;=0,0,IF(Simulador!$D$22&gt;0,Simulador!$D$22,Simulador!$O$24)*Simulador!$AA$44)),0)</f>
        <v>0</v>
      </c>
      <c r="AQ122" s="90">
        <f t="shared" si="31"/>
        <v>0</v>
      </c>
      <c r="AR122" s="26">
        <f t="shared" si="43"/>
        <v>0</v>
      </c>
      <c r="AS122">
        <f t="shared" si="38"/>
        <v>0</v>
      </c>
      <c r="AT122" s="549">
        <f t="shared" si="44"/>
      </c>
      <c r="AU122" s="404">
        <f t="shared" si="39"/>
        <v>0</v>
      </c>
      <c r="AV122" s="52">
        <v>108</v>
      </c>
      <c r="AW122" s="27"/>
      <c r="AX122" s="424"/>
      <c r="AZ122" s="52"/>
    </row>
    <row r="123" spans="1:52" ht="12.75">
      <c r="A123" s="503">
        <v>109</v>
      </c>
      <c r="B123" s="89">
        <f t="shared" si="40"/>
        <v>0</v>
      </c>
      <c r="C123" s="89"/>
      <c r="D123" s="90">
        <f>IF(B123+F123-D122&lt;=0,B123+F123,IF(AND(OR(Simulador!$U$39=2,Simulador!$U$39=7),J122=0),_xlfn.IFERROR((((P123/360*AU123)/(1-(1+(P123/360*AU123))^-AS123))*B123)*(1+AA123),0),IF($AF$3=2,B123*AJ123,_xlfn.IFERROR((((P123/360*AU123)/(1-(1+(P123/360*AU123))^-AS123))*B123)*(1+AA123),0))))</f>
        <v>0</v>
      </c>
      <c r="E123" s="90"/>
      <c r="F123" s="90">
        <f t="shared" si="32"/>
        <v>0</v>
      </c>
      <c r="G123" s="90"/>
      <c r="H123" s="90">
        <f t="shared" si="41"/>
        <v>0</v>
      </c>
      <c r="I123" s="91"/>
      <c r="J123" s="92"/>
      <c r="K123" s="91"/>
      <c r="L123" s="90">
        <f>IF(Simulador!$T$41=1,0,J123*Simulador!$W$39*1.16)</f>
        <v>0</v>
      </c>
      <c r="M123" s="90"/>
      <c r="N123" s="94"/>
      <c r="O123" s="12"/>
      <c r="P123" s="544">
        <f t="shared" si="42"/>
        <v>0</v>
      </c>
      <c r="Q123" s="4"/>
      <c r="R123" s="90">
        <f t="shared" si="33"/>
        <v>0</v>
      </c>
      <c r="S123" s="90"/>
      <c r="T123" s="90">
        <f>_xlfn.IFERROR(IF(Simulador!$U$30=1,0,IF($B123&lt;=0,0,$B123*Simulador!$AA$43)),0)</f>
        <v>0</v>
      </c>
      <c r="U123" s="90"/>
      <c r="V123" s="90">
        <f>_xlfn.IFERROR(IF(Simulador!$U$30=1,0,IF($B123&lt;=0,0,IF(Simulador!$D$22&gt;0,Simulador!$D$22,Simulador!$O$24)*Simulador!$AA$44)),0)</f>
        <v>0</v>
      </c>
      <c r="W123" s="90"/>
      <c r="X123" s="90"/>
      <c r="Y123" s="90">
        <f t="shared" si="29"/>
        <v>0</v>
      </c>
      <c r="Z123" s="13"/>
      <c r="AA123" s="18">
        <f>IF(B123&lt;=0,0,Simulador!$I$45)</f>
        <v>0</v>
      </c>
      <c r="AB123" s="23"/>
      <c r="AC123" s="364"/>
      <c r="AD123" s="222">
        <v>9</v>
      </c>
      <c r="AE123" s="219">
        <v>1</v>
      </c>
      <c r="AF123" s="269">
        <f t="shared" si="34"/>
        <v>0</v>
      </c>
      <c r="AG123" s="209">
        <f t="shared" si="35"/>
        <v>0</v>
      </c>
      <c r="AH123" s="209">
        <f t="shared" si="36"/>
        <v>0</v>
      </c>
      <c r="AI123" s="219">
        <f t="shared" si="30"/>
        <v>0</v>
      </c>
      <c r="AJ123" s="425">
        <f t="shared" si="37"/>
        <v>0</v>
      </c>
      <c r="AK123" s="57">
        <f t="shared" si="24"/>
        <v>0</v>
      </c>
      <c r="AL123" s="90">
        <f t="shared" si="25"/>
        <v>0</v>
      </c>
      <c r="AM123" s="58">
        <f t="shared" si="26"/>
        <v>0</v>
      </c>
      <c r="AN123" s="57">
        <f t="shared" si="27"/>
        <v>0</v>
      </c>
      <c r="AO123" s="432">
        <f t="shared" si="28"/>
        <v>0</v>
      </c>
      <c r="AP123" s="90">
        <f>_xlfn.IFERROR(IF(Simulador!$U$30=1,0,IF($AK123&lt;=0,0,$AK123*Simulador!$AA$43)),0)+_xlfn.IFERROR(IF(Simulador!$U$30=1,0,IF($AK123&lt;=0,0,IF(Simulador!$D$22&gt;0,Simulador!$D$22,Simulador!$O$24)*Simulador!$AA$44)),0)</f>
        <v>0</v>
      </c>
      <c r="AQ123" s="90">
        <f t="shared" si="31"/>
        <v>0</v>
      </c>
      <c r="AR123" s="26">
        <f t="shared" si="43"/>
        <v>0</v>
      </c>
      <c r="AS123">
        <f t="shared" si="38"/>
        <v>0</v>
      </c>
      <c r="AT123" s="549">
        <f t="shared" si="44"/>
      </c>
      <c r="AU123" s="404">
        <f t="shared" si="39"/>
        <v>0</v>
      </c>
      <c r="AV123" s="52">
        <v>109</v>
      </c>
      <c r="AW123" s="27"/>
      <c r="AX123" s="424"/>
      <c r="AZ123" s="52"/>
    </row>
    <row r="124" spans="1:52" ht="12.75">
      <c r="A124" s="503">
        <v>110</v>
      </c>
      <c r="B124" s="89">
        <f t="shared" si="40"/>
        <v>0</v>
      </c>
      <c r="C124" s="89"/>
      <c r="D124" s="90">
        <f>IF(B124+F124-D123&lt;=0,B124+F124,IF(AND(OR(Simulador!$U$39=2,Simulador!$U$39=7),J123=0),_xlfn.IFERROR((((P124/360*AU124)/(1-(1+(P124/360*AU124))^-AS124))*B124)*(1+AA124),0),IF($AF$3=2,B124*AJ124,_xlfn.IFERROR((((P124/360*AU124)/(1-(1+(P124/360*AU124))^-AS124))*B124)*(1+AA124),0))))</f>
        <v>0</v>
      </c>
      <c r="E124" s="90"/>
      <c r="F124" s="90">
        <f t="shared" si="32"/>
        <v>0</v>
      </c>
      <c r="G124" s="90"/>
      <c r="H124" s="90">
        <f t="shared" si="41"/>
        <v>0</v>
      </c>
      <c r="I124" s="91"/>
      <c r="J124" s="92"/>
      <c r="K124" s="91"/>
      <c r="L124" s="90">
        <f>IF(Simulador!$T$41=1,0,J124*Simulador!$W$39*1.16)</f>
        <v>0</v>
      </c>
      <c r="M124" s="90"/>
      <c r="N124" s="93">
        <f>IF(B124-H124=0,0,N122*(1+(Simulador!$AH$72)))</f>
        <v>0</v>
      </c>
      <c r="O124" s="12"/>
      <c r="P124" s="544">
        <f t="shared" si="42"/>
        <v>0</v>
      </c>
      <c r="Q124" s="4"/>
      <c r="R124" s="90">
        <f t="shared" si="33"/>
        <v>0</v>
      </c>
      <c r="S124" s="90"/>
      <c r="T124" s="90">
        <f>_xlfn.IFERROR(IF(Simulador!$U$30=1,0,IF($B124&lt;=0,0,$B124*Simulador!$AA$43)),0)</f>
        <v>0</v>
      </c>
      <c r="U124" s="90"/>
      <c r="V124" s="90">
        <f>_xlfn.IFERROR(IF(Simulador!$U$30=1,0,IF($B124&lt;=0,0,IF(Simulador!$D$22&gt;0,Simulador!$D$22,Simulador!$O$24)*Simulador!$AA$44)),0)</f>
        <v>0</v>
      </c>
      <c r="W124" s="90"/>
      <c r="X124" s="90"/>
      <c r="Y124" s="90">
        <f t="shared" si="29"/>
        <v>0</v>
      </c>
      <c r="Z124" s="13"/>
      <c r="AA124" s="18"/>
      <c r="AB124" s="23"/>
      <c r="AC124" s="364"/>
      <c r="AD124" s="222">
        <v>9</v>
      </c>
      <c r="AE124" s="220">
        <v>2</v>
      </c>
      <c r="AF124" s="269">
        <f t="shared" si="34"/>
        <v>0</v>
      </c>
      <c r="AG124" s="209">
        <f t="shared" si="35"/>
        <v>0</v>
      </c>
      <c r="AH124" s="209">
        <f t="shared" si="36"/>
        <v>0</v>
      </c>
      <c r="AI124" s="219">
        <f t="shared" si="30"/>
        <v>0</v>
      </c>
      <c r="AJ124" s="425">
        <f t="shared" si="37"/>
        <v>0</v>
      </c>
      <c r="AK124" s="57">
        <f t="shared" si="24"/>
        <v>0</v>
      </c>
      <c r="AL124" s="90">
        <f t="shared" si="25"/>
        <v>0</v>
      </c>
      <c r="AM124" s="58">
        <f t="shared" si="26"/>
        <v>0</v>
      </c>
      <c r="AN124" s="57">
        <f t="shared" si="27"/>
        <v>0</v>
      </c>
      <c r="AO124" s="432">
        <f t="shared" si="28"/>
        <v>0</v>
      </c>
      <c r="AP124" s="90">
        <f>_xlfn.IFERROR(IF(Simulador!$U$30=1,0,IF($AK124&lt;=0,0,$AK124*Simulador!$AA$43)),0)+_xlfn.IFERROR(IF(Simulador!$U$30=1,0,IF($AK124&lt;=0,0,IF(Simulador!$D$22&gt;0,Simulador!$D$22,Simulador!$O$24)*Simulador!$AA$44)),0)</f>
        <v>0</v>
      </c>
      <c r="AQ124" s="90">
        <f t="shared" si="31"/>
        <v>0</v>
      </c>
      <c r="AR124" s="26">
        <f t="shared" si="43"/>
        <v>0</v>
      </c>
      <c r="AS124">
        <f t="shared" si="38"/>
        <v>0</v>
      </c>
      <c r="AT124" s="549">
        <f t="shared" si="44"/>
      </c>
      <c r="AU124" s="404">
        <f t="shared" si="39"/>
        <v>0</v>
      </c>
      <c r="AV124" s="52">
        <v>110</v>
      </c>
      <c r="AW124" s="27"/>
      <c r="AX124" s="424"/>
      <c r="AZ124" s="52"/>
    </row>
    <row r="125" spans="1:52" ht="12.75">
      <c r="A125" s="503">
        <v>111</v>
      </c>
      <c r="B125" s="89">
        <f t="shared" si="40"/>
        <v>0</v>
      </c>
      <c r="C125" s="89"/>
      <c r="D125" s="90">
        <f>IF(B125+F125-D124&lt;=0,B125+F125,IF(AND(OR(Simulador!$U$39=2,Simulador!$U$39=7),J124=0),_xlfn.IFERROR((((P125/360*AU125)/(1-(1+(P125/360*AU125))^-AS125))*B125)*(1+AA125),0),IF($AF$3=2,B125*AJ125,_xlfn.IFERROR((((P125/360*AU125)/(1-(1+(P125/360*AU125))^-AS125))*B125)*(1+AA125),0))))</f>
        <v>0</v>
      </c>
      <c r="E125" s="90"/>
      <c r="F125" s="90">
        <f t="shared" si="32"/>
        <v>0</v>
      </c>
      <c r="G125" s="90"/>
      <c r="H125" s="90">
        <f t="shared" si="41"/>
        <v>0</v>
      </c>
      <c r="I125" s="91"/>
      <c r="J125" s="92"/>
      <c r="K125" s="91"/>
      <c r="L125" s="90">
        <f>IF(Simulador!$T$41=1,0,J125*Simulador!$W$39*1.16)</f>
        <v>0</v>
      </c>
      <c r="M125" s="90"/>
      <c r="N125" s="94"/>
      <c r="O125" s="12"/>
      <c r="P125" s="544">
        <f t="shared" si="42"/>
        <v>0</v>
      </c>
      <c r="Q125" s="4"/>
      <c r="R125" s="90">
        <f t="shared" si="33"/>
        <v>0</v>
      </c>
      <c r="S125" s="90"/>
      <c r="T125" s="90">
        <f>_xlfn.IFERROR(IF(Simulador!$U$30=1,0,IF($B125&lt;=0,0,$B125*Simulador!$AA$43)),0)</f>
        <v>0</v>
      </c>
      <c r="U125" s="90"/>
      <c r="V125" s="90">
        <f>_xlfn.IFERROR(IF(Simulador!$U$30=1,0,IF($B125&lt;=0,0,IF(Simulador!$D$22&gt;0,Simulador!$D$22,Simulador!$O$24)*Simulador!$AA$44)),0)</f>
        <v>0</v>
      </c>
      <c r="W125" s="90"/>
      <c r="X125" s="90"/>
      <c r="Y125" s="90">
        <f t="shared" si="29"/>
        <v>0</v>
      </c>
      <c r="Z125" s="13"/>
      <c r="AA125" s="18"/>
      <c r="AB125" s="23"/>
      <c r="AC125" s="364"/>
      <c r="AD125" s="222">
        <v>9</v>
      </c>
      <c r="AE125" s="220">
        <v>3</v>
      </c>
      <c r="AF125" s="269">
        <f t="shared" si="34"/>
        <v>0</v>
      </c>
      <c r="AG125" s="209">
        <f t="shared" si="35"/>
        <v>0</v>
      </c>
      <c r="AH125" s="209">
        <f t="shared" si="36"/>
        <v>0</v>
      </c>
      <c r="AI125" s="219">
        <f t="shared" si="30"/>
        <v>0</v>
      </c>
      <c r="AJ125" s="425">
        <f t="shared" si="37"/>
        <v>0</v>
      </c>
      <c r="AK125" s="57">
        <f t="shared" si="24"/>
        <v>0</v>
      </c>
      <c r="AL125" s="90">
        <f t="shared" si="25"/>
        <v>0</v>
      </c>
      <c r="AM125" s="58">
        <f t="shared" si="26"/>
        <v>0</v>
      </c>
      <c r="AN125" s="57">
        <f t="shared" si="27"/>
        <v>0</v>
      </c>
      <c r="AO125" s="432">
        <f t="shared" si="28"/>
        <v>0</v>
      </c>
      <c r="AP125" s="90">
        <f>_xlfn.IFERROR(IF(Simulador!$U$30=1,0,IF($AK125&lt;=0,0,$AK125*Simulador!$AA$43)),0)+_xlfn.IFERROR(IF(Simulador!$U$30=1,0,IF($AK125&lt;=0,0,IF(Simulador!$D$22&gt;0,Simulador!$D$22,Simulador!$O$24)*Simulador!$AA$44)),0)</f>
        <v>0</v>
      </c>
      <c r="AQ125" s="90">
        <f t="shared" si="31"/>
        <v>0</v>
      </c>
      <c r="AR125" s="26">
        <f t="shared" si="43"/>
        <v>0</v>
      </c>
      <c r="AS125">
        <f t="shared" si="38"/>
        <v>0</v>
      </c>
      <c r="AT125" s="549">
        <f t="shared" si="44"/>
      </c>
      <c r="AU125" s="404">
        <f t="shared" si="39"/>
        <v>0</v>
      </c>
      <c r="AV125" s="52">
        <v>111</v>
      </c>
      <c r="AW125" s="27"/>
      <c r="AX125" s="424"/>
      <c r="AZ125" s="52"/>
    </row>
    <row r="126" spans="1:52" ht="12.75">
      <c r="A126" s="503">
        <v>112</v>
      </c>
      <c r="B126" s="89">
        <f t="shared" si="40"/>
        <v>0</v>
      </c>
      <c r="C126" s="89"/>
      <c r="D126" s="90">
        <f>IF(B126+F126-D125&lt;=0,B126+F126,IF(AND(OR(Simulador!$U$39=2,Simulador!$U$39=7),J125=0),_xlfn.IFERROR((((P126/360*AU126)/(1-(1+(P126/360*AU126))^-AS126))*B126)*(1+AA126),0),IF($AF$3=2,B126*AJ126,_xlfn.IFERROR((((P126/360*AU126)/(1-(1+(P126/360*AU126))^-AS126))*B126)*(1+AA126),0))))</f>
        <v>0</v>
      </c>
      <c r="E126" s="90"/>
      <c r="F126" s="90">
        <f t="shared" si="32"/>
        <v>0</v>
      </c>
      <c r="G126" s="90"/>
      <c r="H126" s="90">
        <f t="shared" si="41"/>
        <v>0</v>
      </c>
      <c r="I126" s="91"/>
      <c r="J126" s="92"/>
      <c r="K126" s="91"/>
      <c r="L126" s="90">
        <f>IF(Simulador!$T$41=1,0,J126*Simulador!$W$39*1.16)</f>
        <v>0</v>
      </c>
      <c r="M126" s="90"/>
      <c r="N126" s="93">
        <f>IF(B126-H126=0,0,N124)</f>
        <v>0</v>
      </c>
      <c r="O126" s="12"/>
      <c r="P126" s="544">
        <f t="shared" si="42"/>
        <v>0</v>
      </c>
      <c r="Q126" s="4"/>
      <c r="R126" s="90">
        <f t="shared" si="33"/>
        <v>0</v>
      </c>
      <c r="S126" s="90"/>
      <c r="T126" s="90">
        <f>_xlfn.IFERROR(IF(Simulador!$U$30=1,0,IF($B126&lt;=0,0,$B126*Simulador!$AA$43)),0)</f>
        <v>0</v>
      </c>
      <c r="U126" s="90"/>
      <c r="V126" s="90">
        <f>_xlfn.IFERROR(IF(Simulador!$U$30=1,0,IF($B126&lt;=0,0,IF(Simulador!$D$22&gt;0,Simulador!$D$22,Simulador!$O$24)*Simulador!$AA$44)),0)</f>
        <v>0</v>
      </c>
      <c r="W126" s="90"/>
      <c r="X126" s="90"/>
      <c r="Y126" s="90">
        <f t="shared" si="29"/>
        <v>0</v>
      </c>
      <c r="Z126" s="13"/>
      <c r="AA126" s="18"/>
      <c r="AB126" s="23"/>
      <c r="AC126" s="364"/>
      <c r="AD126" s="222">
        <v>9</v>
      </c>
      <c r="AE126" s="219">
        <v>4</v>
      </c>
      <c r="AF126" s="269">
        <f t="shared" si="34"/>
        <v>0</v>
      </c>
      <c r="AG126" s="209">
        <f t="shared" si="35"/>
        <v>0</v>
      </c>
      <c r="AH126" s="209">
        <f t="shared" si="36"/>
        <v>0</v>
      </c>
      <c r="AI126" s="219">
        <f t="shared" si="30"/>
        <v>0</v>
      </c>
      <c r="AJ126" s="425">
        <f t="shared" si="37"/>
        <v>0</v>
      </c>
      <c r="AK126" s="57">
        <f t="shared" si="24"/>
        <v>0</v>
      </c>
      <c r="AL126" s="90">
        <f t="shared" si="25"/>
        <v>0</v>
      </c>
      <c r="AM126" s="58">
        <f t="shared" si="26"/>
        <v>0</v>
      </c>
      <c r="AN126" s="57">
        <f t="shared" si="27"/>
        <v>0</v>
      </c>
      <c r="AO126" s="432">
        <f t="shared" si="28"/>
        <v>0</v>
      </c>
      <c r="AP126" s="90">
        <f>_xlfn.IFERROR(IF(Simulador!$U$30=1,0,IF($AK126&lt;=0,0,$AK126*Simulador!$AA$43)),0)+_xlfn.IFERROR(IF(Simulador!$U$30=1,0,IF($AK126&lt;=0,0,IF(Simulador!$D$22&gt;0,Simulador!$D$22,Simulador!$O$24)*Simulador!$AA$44)),0)</f>
        <v>0</v>
      </c>
      <c r="AQ126" s="90">
        <f t="shared" si="31"/>
        <v>0</v>
      </c>
      <c r="AR126" s="26">
        <f t="shared" si="43"/>
        <v>0</v>
      </c>
      <c r="AS126">
        <f t="shared" si="38"/>
        <v>0</v>
      </c>
      <c r="AT126" s="549">
        <f t="shared" si="44"/>
      </c>
      <c r="AU126" s="404">
        <f t="shared" si="39"/>
        <v>0</v>
      </c>
      <c r="AV126" s="52">
        <v>112</v>
      </c>
      <c r="AW126" s="27"/>
      <c r="AX126" s="424"/>
      <c r="AZ126" s="52"/>
    </row>
    <row r="127" spans="1:52" ht="12.75">
      <c r="A127" s="503">
        <v>113</v>
      </c>
      <c r="B127" s="89">
        <f t="shared" si="40"/>
        <v>0</v>
      </c>
      <c r="C127" s="89"/>
      <c r="D127" s="90">
        <f>IF(B127+F127-D126&lt;=0,B127+F127,IF(AND(OR(Simulador!$U$39=2,Simulador!$U$39=7),J126=0),_xlfn.IFERROR((((P127/360*AU127)/(1-(1+(P127/360*AU127))^-AS127))*B127)*(1+AA127),0),IF($AF$3=2,B127*AJ127,_xlfn.IFERROR((((P127/360*AU127)/(1-(1+(P127/360*AU127))^-AS127))*B127)*(1+AA127),0))))</f>
        <v>0</v>
      </c>
      <c r="E127" s="90"/>
      <c r="F127" s="90">
        <f t="shared" si="32"/>
        <v>0</v>
      </c>
      <c r="G127" s="90"/>
      <c r="H127" s="90">
        <f t="shared" si="41"/>
        <v>0</v>
      </c>
      <c r="I127" s="91"/>
      <c r="J127" s="92"/>
      <c r="K127" s="91"/>
      <c r="L127" s="90">
        <f>IF(Simulador!$T$41=1,0,J127*Simulador!$W$39*1.16)</f>
        <v>0</v>
      </c>
      <c r="M127" s="90"/>
      <c r="N127" s="94"/>
      <c r="O127" s="12"/>
      <c r="P127" s="544">
        <f t="shared" si="42"/>
        <v>0</v>
      </c>
      <c r="Q127" s="4"/>
      <c r="R127" s="90">
        <f t="shared" si="33"/>
        <v>0</v>
      </c>
      <c r="S127" s="90"/>
      <c r="T127" s="90">
        <f>_xlfn.IFERROR(IF(Simulador!$U$30=1,0,IF($B127&lt;=0,0,$B127*Simulador!$AA$43)),0)</f>
        <v>0</v>
      </c>
      <c r="U127" s="90"/>
      <c r="V127" s="90">
        <f>_xlfn.IFERROR(IF(Simulador!$U$30=1,0,IF($B127&lt;=0,0,IF(Simulador!$D$22&gt;0,Simulador!$D$22,Simulador!$O$24)*Simulador!$AA$44)),0)</f>
        <v>0</v>
      </c>
      <c r="W127" s="90"/>
      <c r="X127" s="90"/>
      <c r="Y127" s="90">
        <f t="shared" si="29"/>
        <v>0</v>
      </c>
      <c r="Z127" s="13"/>
      <c r="AA127" s="18"/>
      <c r="AB127" s="23"/>
      <c r="AC127" s="364"/>
      <c r="AD127" s="222">
        <v>9</v>
      </c>
      <c r="AE127" s="219">
        <v>5</v>
      </c>
      <c r="AF127" s="269">
        <f t="shared" si="34"/>
        <v>0</v>
      </c>
      <c r="AG127" s="209">
        <f t="shared" si="35"/>
        <v>0</v>
      </c>
      <c r="AH127" s="209">
        <f t="shared" si="36"/>
        <v>0</v>
      </c>
      <c r="AI127" s="219">
        <f t="shared" si="30"/>
        <v>0</v>
      </c>
      <c r="AJ127" s="425">
        <f t="shared" si="37"/>
        <v>0</v>
      </c>
      <c r="AK127" s="57">
        <f t="shared" si="24"/>
        <v>0</v>
      </c>
      <c r="AL127" s="90">
        <f t="shared" si="25"/>
        <v>0</v>
      </c>
      <c r="AM127" s="58">
        <f t="shared" si="26"/>
        <v>0</v>
      </c>
      <c r="AN127" s="57">
        <f t="shared" si="27"/>
        <v>0</v>
      </c>
      <c r="AO127" s="432">
        <f t="shared" si="28"/>
        <v>0</v>
      </c>
      <c r="AP127" s="90">
        <f>_xlfn.IFERROR(IF(Simulador!$U$30=1,0,IF($AK127&lt;=0,0,$AK127*Simulador!$AA$43)),0)+_xlfn.IFERROR(IF(Simulador!$U$30=1,0,IF($AK127&lt;=0,0,IF(Simulador!$D$22&gt;0,Simulador!$D$22,Simulador!$O$24)*Simulador!$AA$44)),0)</f>
        <v>0</v>
      </c>
      <c r="AQ127" s="90">
        <f t="shared" si="31"/>
        <v>0</v>
      </c>
      <c r="AR127" s="26">
        <f t="shared" si="43"/>
        <v>0</v>
      </c>
      <c r="AS127">
        <f t="shared" si="38"/>
        <v>0</v>
      </c>
      <c r="AT127" s="549">
        <f t="shared" si="44"/>
      </c>
      <c r="AU127" s="404">
        <f t="shared" si="39"/>
        <v>0</v>
      </c>
      <c r="AV127" s="52">
        <v>113</v>
      </c>
      <c r="AW127" s="27"/>
      <c r="AX127" s="424"/>
      <c r="AZ127" s="52"/>
    </row>
    <row r="128" spans="1:52" ht="12.75">
      <c r="A128" s="503">
        <v>114</v>
      </c>
      <c r="B128" s="89">
        <f t="shared" si="40"/>
        <v>0</v>
      </c>
      <c r="C128" s="89"/>
      <c r="D128" s="90">
        <f>IF(B128+F128-D127&lt;=0,B128+F128,IF(AND(OR(Simulador!$U$39=2,Simulador!$U$39=7),J127=0),_xlfn.IFERROR((((P128/360*AU128)/(1-(1+(P128/360*AU128))^-AS128))*B128)*(1+AA128),0),IF($AF$3=2,B128*AJ128,_xlfn.IFERROR((((P128/360*AU128)/(1-(1+(P128/360*AU128))^-AS128))*B128)*(1+AA128),0))))</f>
        <v>0</v>
      </c>
      <c r="E128" s="90"/>
      <c r="F128" s="90">
        <f t="shared" si="32"/>
        <v>0</v>
      </c>
      <c r="G128" s="90"/>
      <c r="H128" s="90">
        <f t="shared" si="41"/>
        <v>0</v>
      </c>
      <c r="I128" s="91"/>
      <c r="J128" s="92"/>
      <c r="K128" s="91"/>
      <c r="L128" s="90">
        <f>IF(Simulador!$T$41=1,0,J128*Simulador!$W$39*1.16)</f>
        <v>0</v>
      </c>
      <c r="M128" s="90"/>
      <c r="N128" s="93">
        <f>IF(B128-H128=0,0,N126)</f>
        <v>0</v>
      </c>
      <c r="O128" s="12"/>
      <c r="P128" s="544">
        <f t="shared" si="42"/>
        <v>0</v>
      </c>
      <c r="Q128" s="4"/>
      <c r="R128" s="90">
        <f t="shared" si="33"/>
        <v>0</v>
      </c>
      <c r="S128" s="90"/>
      <c r="T128" s="90">
        <f>_xlfn.IFERROR(IF(Simulador!$U$30=1,0,IF($B128&lt;=0,0,$B128*Simulador!$AA$43)),0)</f>
        <v>0</v>
      </c>
      <c r="U128" s="90"/>
      <c r="V128" s="90">
        <f>_xlfn.IFERROR(IF(Simulador!$U$30=1,0,IF($B128&lt;=0,0,IF(Simulador!$D$22&gt;0,Simulador!$D$22,Simulador!$O$24)*Simulador!$AA$44)),0)</f>
        <v>0</v>
      </c>
      <c r="W128" s="90"/>
      <c r="X128" s="90"/>
      <c r="Y128" s="90">
        <f t="shared" si="29"/>
        <v>0</v>
      </c>
      <c r="Z128" s="13"/>
      <c r="AA128" s="18"/>
      <c r="AB128" s="23"/>
      <c r="AC128" s="364"/>
      <c r="AD128" s="222">
        <v>9</v>
      </c>
      <c r="AE128" s="219">
        <v>6</v>
      </c>
      <c r="AF128" s="269">
        <f t="shared" si="34"/>
        <v>0</v>
      </c>
      <c r="AG128" s="209">
        <f t="shared" si="35"/>
        <v>0</v>
      </c>
      <c r="AH128" s="209">
        <f t="shared" si="36"/>
        <v>0</v>
      </c>
      <c r="AI128" s="219">
        <f t="shared" si="30"/>
        <v>0</v>
      </c>
      <c r="AJ128" s="425">
        <f t="shared" si="37"/>
        <v>0</v>
      </c>
      <c r="AK128" s="57">
        <f t="shared" si="24"/>
        <v>0</v>
      </c>
      <c r="AL128" s="90">
        <f t="shared" si="25"/>
        <v>0</v>
      </c>
      <c r="AM128" s="58">
        <f t="shared" si="26"/>
        <v>0</v>
      </c>
      <c r="AN128" s="57">
        <f t="shared" si="27"/>
        <v>0</v>
      </c>
      <c r="AO128" s="432">
        <f t="shared" si="28"/>
        <v>0</v>
      </c>
      <c r="AP128" s="90">
        <f>_xlfn.IFERROR(IF(Simulador!$U$30=1,0,IF($AK128&lt;=0,0,$AK128*Simulador!$AA$43)),0)+_xlfn.IFERROR(IF(Simulador!$U$30=1,0,IF($AK128&lt;=0,0,IF(Simulador!$D$22&gt;0,Simulador!$D$22,Simulador!$O$24)*Simulador!$AA$44)),0)</f>
        <v>0</v>
      </c>
      <c r="AQ128" s="90">
        <f t="shared" si="31"/>
        <v>0</v>
      </c>
      <c r="AR128" s="26">
        <f t="shared" si="43"/>
        <v>0</v>
      </c>
      <c r="AS128">
        <f t="shared" si="38"/>
        <v>0</v>
      </c>
      <c r="AT128" s="549">
        <f t="shared" si="44"/>
      </c>
      <c r="AU128" s="404">
        <f t="shared" si="39"/>
        <v>0</v>
      </c>
      <c r="AV128" s="52">
        <v>114</v>
      </c>
      <c r="AW128" s="27"/>
      <c r="AX128" s="424"/>
      <c r="AZ128" s="52"/>
    </row>
    <row r="129" spans="1:52" ht="12.75">
      <c r="A129" s="503">
        <v>115</v>
      </c>
      <c r="B129" s="89">
        <f t="shared" si="40"/>
        <v>0</v>
      </c>
      <c r="C129" s="89"/>
      <c r="D129" s="90">
        <f>IF(B129+F129-D128&lt;=0,B129+F129,IF(AND(OR(Simulador!$U$39=2,Simulador!$U$39=7),J128=0),_xlfn.IFERROR((((P129/360*AU129)/(1-(1+(P129/360*AU129))^-AS129))*B129)*(1+AA129),0),IF($AF$3=2,B129*AJ129,_xlfn.IFERROR((((P129/360*AU129)/(1-(1+(P129/360*AU129))^-AS129))*B129)*(1+AA129),0))))</f>
        <v>0</v>
      </c>
      <c r="E129" s="90"/>
      <c r="F129" s="90">
        <f t="shared" si="32"/>
        <v>0</v>
      </c>
      <c r="G129" s="90"/>
      <c r="H129" s="90">
        <f t="shared" si="41"/>
        <v>0</v>
      </c>
      <c r="I129" s="91"/>
      <c r="J129" s="92"/>
      <c r="K129" s="91"/>
      <c r="L129" s="90">
        <f>IF(Simulador!$T$41=1,0,J129*Simulador!$W$39*1.16)</f>
        <v>0</v>
      </c>
      <c r="M129" s="90"/>
      <c r="N129" s="94"/>
      <c r="O129" s="12"/>
      <c r="P129" s="544">
        <f t="shared" si="42"/>
        <v>0</v>
      </c>
      <c r="Q129" s="4"/>
      <c r="R129" s="90">
        <f t="shared" si="33"/>
        <v>0</v>
      </c>
      <c r="S129" s="90"/>
      <c r="T129" s="90">
        <f>_xlfn.IFERROR(IF(Simulador!$U$30=1,0,IF($B129&lt;=0,0,$B129*Simulador!$AA$43)),0)</f>
        <v>0</v>
      </c>
      <c r="U129" s="90"/>
      <c r="V129" s="90">
        <f>_xlfn.IFERROR(IF(Simulador!$U$30=1,0,IF($B129&lt;=0,0,IF(Simulador!$D$22&gt;0,Simulador!$D$22,Simulador!$O$24)*Simulador!$AA$44)),0)</f>
        <v>0</v>
      </c>
      <c r="W129" s="90"/>
      <c r="X129" s="90"/>
      <c r="Y129" s="90">
        <f t="shared" si="29"/>
        <v>0</v>
      </c>
      <c r="Z129" s="13"/>
      <c r="AA129" s="18"/>
      <c r="AB129" s="23"/>
      <c r="AC129" s="364"/>
      <c r="AD129" s="222">
        <v>9</v>
      </c>
      <c r="AE129" s="219">
        <v>7</v>
      </c>
      <c r="AF129" s="269">
        <f t="shared" si="34"/>
        <v>0</v>
      </c>
      <c r="AG129" s="209">
        <f t="shared" si="35"/>
        <v>0</v>
      </c>
      <c r="AH129" s="209">
        <f t="shared" si="36"/>
        <v>0</v>
      </c>
      <c r="AI129" s="219">
        <f t="shared" si="30"/>
        <v>0</v>
      </c>
      <c r="AJ129" s="425">
        <f t="shared" si="37"/>
        <v>0</v>
      </c>
      <c r="AK129" s="57">
        <f t="shared" si="24"/>
        <v>0</v>
      </c>
      <c r="AL129" s="90">
        <f t="shared" si="25"/>
        <v>0</v>
      </c>
      <c r="AM129" s="58">
        <f t="shared" si="26"/>
        <v>0</v>
      </c>
      <c r="AN129" s="57">
        <f t="shared" si="27"/>
        <v>0</v>
      </c>
      <c r="AO129" s="432">
        <f t="shared" si="28"/>
        <v>0</v>
      </c>
      <c r="AP129" s="90">
        <f>_xlfn.IFERROR(IF(Simulador!$U$30=1,0,IF($AK129&lt;=0,0,$AK129*Simulador!$AA$43)),0)+_xlfn.IFERROR(IF(Simulador!$U$30=1,0,IF($AK129&lt;=0,0,IF(Simulador!$D$22&gt;0,Simulador!$D$22,Simulador!$O$24)*Simulador!$AA$44)),0)</f>
        <v>0</v>
      </c>
      <c r="AQ129" s="90">
        <f t="shared" si="31"/>
        <v>0</v>
      </c>
      <c r="AR129" s="26">
        <f t="shared" si="43"/>
        <v>0</v>
      </c>
      <c r="AS129">
        <f t="shared" si="38"/>
        <v>0</v>
      </c>
      <c r="AT129" s="549">
        <f t="shared" si="44"/>
      </c>
      <c r="AU129" s="404">
        <f t="shared" si="39"/>
        <v>0</v>
      </c>
      <c r="AV129" s="52">
        <v>115</v>
      </c>
      <c r="AW129" s="27"/>
      <c r="AX129" s="424"/>
      <c r="AZ129" s="52"/>
    </row>
    <row r="130" spans="1:52" ht="12.75">
      <c r="A130" s="503">
        <v>116</v>
      </c>
      <c r="B130" s="89">
        <f t="shared" si="40"/>
        <v>0</v>
      </c>
      <c r="C130" s="89"/>
      <c r="D130" s="90">
        <f>IF(B130+F130-D129&lt;=0,B130+F130,IF(AND(OR(Simulador!$U$39=2,Simulador!$U$39=7),J129=0),_xlfn.IFERROR((((P130/360*AU130)/(1-(1+(P130/360*AU130))^-AS130))*B130)*(1+AA130),0),IF($AF$3=2,B130*AJ130,_xlfn.IFERROR((((P130/360*AU130)/(1-(1+(P130/360*AU130))^-AS130))*B130)*(1+AA130),0))))</f>
        <v>0</v>
      </c>
      <c r="E130" s="90"/>
      <c r="F130" s="90">
        <f t="shared" si="32"/>
        <v>0</v>
      </c>
      <c r="G130" s="90"/>
      <c r="H130" s="90">
        <f t="shared" si="41"/>
        <v>0</v>
      </c>
      <c r="I130" s="91"/>
      <c r="J130" s="92"/>
      <c r="K130" s="91"/>
      <c r="L130" s="90">
        <f>IF(Simulador!$T$41=1,0,J130*Simulador!$W$39*1.16)</f>
        <v>0</v>
      </c>
      <c r="M130" s="90"/>
      <c r="N130" s="93">
        <f>IF(B130-H130=0,0,N128)</f>
        <v>0</v>
      </c>
      <c r="O130" s="12"/>
      <c r="P130" s="544">
        <f t="shared" si="42"/>
        <v>0</v>
      </c>
      <c r="Q130" s="4"/>
      <c r="R130" s="90">
        <f t="shared" si="33"/>
        <v>0</v>
      </c>
      <c r="S130" s="90"/>
      <c r="T130" s="90">
        <f>_xlfn.IFERROR(IF(Simulador!$U$30=1,0,IF($B130&lt;=0,0,$B130*Simulador!$AA$43)),0)</f>
        <v>0</v>
      </c>
      <c r="U130" s="90"/>
      <c r="V130" s="90">
        <f>_xlfn.IFERROR(IF(Simulador!$U$30=1,0,IF($B130&lt;=0,0,IF(Simulador!$D$22&gt;0,Simulador!$D$22,Simulador!$O$24)*Simulador!$AA$44)),0)</f>
        <v>0</v>
      </c>
      <c r="W130" s="90"/>
      <c r="X130" s="90"/>
      <c r="Y130" s="90">
        <f t="shared" si="29"/>
        <v>0</v>
      </c>
      <c r="Z130" s="13"/>
      <c r="AA130" s="18"/>
      <c r="AB130" s="23"/>
      <c r="AC130" s="364"/>
      <c r="AD130" s="222">
        <v>9</v>
      </c>
      <c r="AE130" s="219">
        <v>8</v>
      </c>
      <c r="AF130" s="269">
        <f t="shared" si="34"/>
        <v>0</v>
      </c>
      <c r="AG130" s="209">
        <f t="shared" si="35"/>
        <v>0</v>
      </c>
      <c r="AH130" s="209">
        <f t="shared" si="36"/>
        <v>0</v>
      </c>
      <c r="AI130" s="219">
        <f t="shared" si="30"/>
        <v>0</v>
      </c>
      <c r="AJ130" s="425">
        <f t="shared" si="37"/>
        <v>0</v>
      </c>
      <c r="AK130" s="57">
        <f t="shared" si="24"/>
        <v>0</v>
      </c>
      <c r="AL130" s="90">
        <f t="shared" si="25"/>
        <v>0</v>
      </c>
      <c r="AM130" s="58">
        <f t="shared" si="26"/>
        <v>0</v>
      </c>
      <c r="AN130" s="57">
        <f t="shared" si="27"/>
        <v>0</v>
      </c>
      <c r="AO130" s="432">
        <f t="shared" si="28"/>
        <v>0</v>
      </c>
      <c r="AP130" s="90">
        <f>_xlfn.IFERROR(IF(Simulador!$U$30=1,0,IF($AK130&lt;=0,0,$AK130*Simulador!$AA$43)),0)+_xlfn.IFERROR(IF(Simulador!$U$30=1,0,IF($AK130&lt;=0,0,IF(Simulador!$D$22&gt;0,Simulador!$D$22,Simulador!$O$24)*Simulador!$AA$44)),0)</f>
        <v>0</v>
      </c>
      <c r="AQ130" s="90">
        <f t="shared" si="31"/>
        <v>0</v>
      </c>
      <c r="AR130" s="26">
        <f t="shared" si="43"/>
        <v>0</v>
      </c>
      <c r="AS130">
        <f t="shared" si="38"/>
        <v>0</v>
      </c>
      <c r="AT130" s="549">
        <f t="shared" si="44"/>
      </c>
      <c r="AU130" s="404">
        <f t="shared" si="39"/>
        <v>0</v>
      </c>
      <c r="AV130" s="52">
        <v>116</v>
      </c>
      <c r="AW130" s="27"/>
      <c r="AX130" s="424"/>
      <c r="AZ130" s="52"/>
    </row>
    <row r="131" spans="1:52" ht="12.75">
      <c r="A131" s="503">
        <v>117</v>
      </c>
      <c r="B131" s="89">
        <f t="shared" si="40"/>
        <v>0</v>
      </c>
      <c r="C131" s="89"/>
      <c r="D131" s="90">
        <f>IF(B131+F131-D130&lt;=0,B131+F131,IF(AND(OR(Simulador!$U$39=2,Simulador!$U$39=7),J130=0),_xlfn.IFERROR((((P131/360*AU131)/(1-(1+(P131/360*AU131))^-AS131))*B131)*(1+AA131),0),IF($AF$3=2,B131*AJ131,_xlfn.IFERROR((((P131/360*AU131)/(1-(1+(P131/360*AU131))^-AS131))*B131)*(1+AA131),0))))</f>
        <v>0</v>
      </c>
      <c r="E131" s="90"/>
      <c r="F131" s="90">
        <f t="shared" si="32"/>
        <v>0</v>
      </c>
      <c r="G131" s="90"/>
      <c r="H131" s="90">
        <f t="shared" si="41"/>
        <v>0</v>
      </c>
      <c r="I131" s="91"/>
      <c r="J131" s="92"/>
      <c r="K131" s="91"/>
      <c r="L131" s="90">
        <f>IF(Simulador!$T$41=1,0,J131*Simulador!$W$39*1.16)</f>
        <v>0</v>
      </c>
      <c r="M131" s="90"/>
      <c r="N131" s="94"/>
      <c r="O131" s="12"/>
      <c r="P131" s="544">
        <f t="shared" si="42"/>
        <v>0</v>
      </c>
      <c r="Q131" s="4"/>
      <c r="R131" s="90">
        <f t="shared" si="33"/>
        <v>0</v>
      </c>
      <c r="S131" s="90"/>
      <c r="T131" s="90">
        <f>_xlfn.IFERROR(IF(Simulador!$U$30=1,0,IF($B131&lt;=0,0,$B131*Simulador!$AA$43)),0)</f>
        <v>0</v>
      </c>
      <c r="U131" s="90"/>
      <c r="V131" s="90">
        <f>_xlfn.IFERROR(IF(Simulador!$U$30=1,0,IF($B131&lt;=0,0,IF(Simulador!$D$22&gt;0,Simulador!$D$22,Simulador!$O$24)*Simulador!$AA$44)),0)</f>
        <v>0</v>
      </c>
      <c r="W131" s="90"/>
      <c r="X131" s="90"/>
      <c r="Y131" s="90">
        <f t="shared" si="29"/>
        <v>0</v>
      </c>
      <c r="Z131" s="13"/>
      <c r="AA131" s="18"/>
      <c r="AB131" s="23"/>
      <c r="AC131" s="364"/>
      <c r="AD131" s="222">
        <v>9</v>
      </c>
      <c r="AE131" s="221">
        <v>9</v>
      </c>
      <c r="AF131" s="269">
        <f t="shared" si="34"/>
        <v>0</v>
      </c>
      <c r="AG131" s="209">
        <f t="shared" si="35"/>
        <v>0</v>
      </c>
      <c r="AH131" s="209">
        <f t="shared" si="36"/>
        <v>0</v>
      </c>
      <c r="AI131" s="219">
        <f t="shared" si="30"/>
        <v>0</v>
      </c>
      <c r="AJ131" s="425">
        <f t="shared" si="37"/>
        <v>0</v>
      </c>
      <c r="AK131" s="57">
        <f t="shared" si="24"/>
        <v>0</v>
      </c>
      <c r="AL131" s="90">
        <f t="shared" si="25"/>
        <v>0</v>
      </c>
      <c r="AM131" s="58">
        <f t="shared" si="26"/>
        <v>0</v>
      </c>
      <c r="AN131" s="57">
        <f t="shared" si="27"/>
        <v>0</v>
      </c>
      <c r="AO131" s="432">
        <f t="shared" si="28"/>
        <v>0</v>
      </c>
      <c r="AP131" s="90">
        <f>_xlfn.IFERROR(IF(Simulador!$U$30=1,0,IF($AK131&lt;=0,0,$AK131*Simulador!$AA$43)),0)+_xlfn.IFERROR(IF(Simulador!$U$30=1,0,IF($AK131&lt;=0,0,IF(Simulador!$D$22&gt;0,Simulador!$D$22,Simulador!$O$24)*Simulador!$AA$44)),0)</f>
        <v>0</v>
      </c>
      <c r="AQ131" s="90">
        <f t="shared" si="31"/>
        <v>0</v>
      </c>
      <c r="AR131" s="26">
        <f t="shared" si="43"/>
        <v>0</v>
      </c>
      <c r="AS131">
        <f t="shared" si="38"/>
        <v>0</v>
      </c>
      <c r="AT131" s="549">
        <f t="shared" si="44"/>
      </c>
      <c r="AU131" s="404">
        <f t="shared" si="39"/>
        <v>0</v>
      </c>
      <c r="AV131" s="52">
        <v>117</v>
      </c>
      <c r="AW131" s="27"/>
      <c r="AX131" s="424"/>
      <c r="AZ131" s="52"/>
    </row>
    <row r="132" spans="1:52" ht="12.75">
      <c r="A132" s="503">
        <v>118</v>
      </c>
      <c r="B132" s="89">
        <f t="shared" si="40"/>
        <v>0</v>
      </c>
      <c r="C132" s="89"/>
      <c r="D132" s="90">
        <f>IF(B132+F132-D131&lt;=0,B132+F132,IF(AND(OR(Simulador!$U$39=2,Simulador!$U$39=7),J131=0),_xlfn.IFERROR((((P132/360*AU132)/(1-(1+(P132/360*AU132))^-AS132))*B132)*(1+AA132),0),IF($AF$3=2,B132*AJ132,_xlfn.IFERROR((((P132/360*AU132)/(1-(1+(P132/360*AU132))^-AS132))*B132)*(1+AA132),0))))</f>
        <v>0</v>
      </c>
      <c r="E132" s="90"/>
      <c r="F132" s="90">
        <f t="shared" si="32"/>
        <v>0</v>
      </c>
      <c r="G132" s="90"/>
      <c r="H132" s="90">
        <f t="shared" si="41"/>
        <v>0</v>
      </c>
      <c r="I132" s="91"/>
      <c r="J132" s="92"/>
      <c r="K132" s="91"/>
      <c r="L132" s="90">
        <f>IF(Simulador!$T$41=1,0,J132*Simulador!$W$39*1.16)</f>
        <v>0</v>
      </c>
      <c r="M132" s="90"/>
      <c r="N132" s="93">
        <f>IF(B132-H132=0,0,N130)</f>
        <v>0</v>
      </c>
      <c r="O132" s="12"/>
      <c r="P132" s="544">
        <f t="shared" si="42"/>
        <v>0</v>
      </c>
      <c r="Q132" s="4"/>
      <c r="R132" s="90">
        <f t="shared" si="33"/>
        <v>0</v>
      </c>
      <c r="S132" s="90"/>
      <c r="T132" s="90">
        <f>_xlfn.IFERROR(IF(Simulador!$U$30=1,0,IF($B132&lt;=0,0,$B132*Simulador!$AA$43)),0)</f>
        <v>0</v>
      </c>
      <c r="U132" s="90"/>
      <c r="V132" s="90">
        <f>_xlfn.IFERROR(IF(Simulador!$U$30=1,0,IF($B132&lt;=0,0,IF(Simulador!$D$22&gt;0,Simulador!$D$22,Simulador!$O$24)*Simulador!$AA$44)),0)</f>
        <v>0</v>
      </c>
      <c r="W132" s="90"/>
      <c r="X132" s="90"/>
      <c r="Y132" s="90">
        <f t="shared" si="29"/>
        <v>0</v>
      </c>
      <c r="Z132" s="13"/>
      <c r="AA132" s="18"/>
      <c r="AB132" s="23"/>
      <c r="AC132" s="364"/>
      <c r="AD132" s="222">
        <v>9</v>
      </c>
      <c r="AE132" s="221">
        <v>10</v>
      </c>
      <c r="AF132" s="269">
        <f t="shared" si="34"/>
        <v>0</v>
      </c>
      <c r="AG132" s="209">
        <f t="shared" si="35"/>
        <v>0</v>
      </c>
      <c r="AH132" s="209">
        <f t="shared" si="36"/>
        <v>0</v>
      </c>
      <c r="AI132" s="219">
        <f t="shared" si="30"/>
        <v>0</v>
      </c>
      <c r="AJ132" s="425">
        <f t="shared" si="37"/>
        <v>0</v>
      </c>
      <c r="AK132" s="57">
        <f t="shared" si="24"/>
        <v>0</v>
      </c>
      <c r="AL132" s="90">
        <f t="shared" si="25"/>
        <v>0</v>
      </c>
      <c r="AM132" s="58">
        <f t="shared" si="26"/>
        <v>0</v>
      </c>
      <c r="AN132" s="57">
        <f t="shared" si="27"/>
        <v>0</v>
      </c>
      <c r="AO132" s="432">
        <f t="shared" si="28"/>
        <v>0</v>
      </c>
      <c r="AP132" s="90">
        <f>_xlfn.IFERROR(IF(Simulador!$U$30=1,0,IF($AK132&lt;=0,0,$AK132*Simulador!$AA$43)),0)+_xlfn.IFERROR(IF(Simulador!$U$30=1,0,IF($AK132&lt;=0,0,IF(Simulador!$D$22&gt;0,Simulador!$D$22,Simulador!$O$24)*Simulador!$AA$44)),0)</f>
        <v>0</v>
      </c>
      <c r="AQ132" s="90">
        <f t="shared" si="31"/>
        <v>0</v>
      </c>
      <c r="AR132" s="26">
        <f t="shared" si="43"/>
        <v>0</v>
      </c>
      <c r="AS132">
        <f t="shared" si="38"/>
        <v>0</v>
      </c>
      <c r="AT132" s="549">
        <f t="shared" si="44"/>
      </c>
      <c r="AU132" s="404">
        <f t="shared" si="39"/>
        <v>0</v>
      </c>
      <c r="AV132" s="52">
        <v>118</v>
      </c>
      <c r="AW132" s="27"/>
      <c r="AX132" s="424"/>
      <c r="AZ132" s="52"/>
    </row>
    <row r="133" spans="1:52" ht="12.75">
      <c r="A133" s="503">
        <v>119</v>
      </c>
      <c r="B133" s="89">
        <f t="shared" si="40"/>
        <v>0</v>
      </c>
      <c r="C133" s="89"/>
      <c r="D133" s="90">
        <f>IF(B133+F133-D132&lt;=0,B133+F133,IF(AND(OR(Simulador!$U$39=2,Simulador!$U$39=7),J132=0),_xlfn.IFERROR((((P133/360*AU133)/(1-(1+(P133/360*AU133))^-AS133))*B133)*(1+AA133),0),IF($AF$3=2,B133*AJ133,_xlfn.IFERROR((((P133/360*AU133)/(1-(1+(P133/360*AU133))^-AS133))*B133)*(1+AA133),0))))</f>
        <v>0</v>
      </c>
      <c r="E133" s="90"/>
      <c r="F133" s="90">
        <f t="shared" si="32"/>
        <v>0</v>
      </c>
      <c r="G133" s="90"/>
      <c r="H133" s="90">
        <f t="shared" si="41"/>
        <v>0</v>
      </c>
      <c r="I133" s="91"/>
      <c r="J133" s="92"/>
      <c r="K133" s="91"/>
      <c r="L133" s="90">
        <f>IF(Simulador!$T$41=1,0,J133*Simulador!$W$39*1.16)</f>
        <v>0</v>
      </c>
      <c r="M133" s="90"/>
      <c r="N133" s="94"/>
      <c r="O133" s="12"/>
      <c r="P133" s="544">
        <f t="shared" si="42"/>
        <v>0</v>
      </c>
      <c r="Q133" s="4"/>
      <c r="R133" s="90">
        <f t="shared" si="33"/>
        <v>0</v>
      </c>
      <c r="S133" s="90"/>
      <c r="T133" s="90">
        <f>_xlfn.IFERROR(IF(Simulador!$U$30=1,0,IF($B133&lt;=0,0,$B133*Simulador!$AA$43)),0)</f>
        <v>0</v>
      </c>
      <c r="U133" s="90"/>
      <c r="V133" s="90">
        <f>_xlfn.IFERROR(IF(Simulador!$U$30=1,0,IF($B133&lt;=0,0,IF(Simulador!$D$22&gt;0,Simulador!$D$22,Simulador!$O$24)*Simulador!$AA$44)),0)</f>
        <v>0</v>
      </c>
      <c r="W133" s="90"/>
      <c r="X133" s="90"/>
      <c r="Y133" s="90">
        <f t="shared" si="29"/>
        <v>0</v>
      </c>
      <c r="Z133" s="13"/>
      <c r="AA133" s="18"/>
      <c r="AB133" s="23"/>
      <c r="AC133" s="364"/>
      <c r="AD133" s="222">
        <v>9</v>
      </c>
      <c r="AE133" s="219">
        <v>11</v>
      </c>
      <c r="AF133" s="269">
        <f t="shared" si="34"/>
        <v>0</v>
      </c>
      <c r="AG133" s="209">
        <f t="shared" si="35"/>
        <v>0</v>
      </c>
      <c r="AH133" s="209">
        <f t="shared" si="36"/>
        <v>0</v>
      </c>
      <c r="AI133" s="219">
        <f t="shared" si="30"/>
        <v>0</v>
      </c>
      <c r="AJ133" s="425">
        <f t="shared" si="37"/>
        <v>0</v>
      </c>
      <c r="AK133" s="57">
        <f t="shared" si="24"/>
        <v>0</v>
      </c>
      <c r="AL133" s="90">
        <f t="shared" si="25"/>
        <v>0</v>
      </c>
      <c r="AM133" s="58">
        <f t="shared" si="26"/>
        <v>0</v>
      </c>
      <c r="AN133" s="57">
        <f t="shared" si="27"/>
        <v>0</v>
      </c>
      <c r="AO133" s="432">
        <f t="shared" si="28"/>
        <v>0</v>
      </c>
      <c r="AP133" s="90">
        <f>_xlfn.IFERROR(IF(Simulador!$U$30=1,0,IF($AK133&lt;=0,0,$AK133*Simulador!$AA$43)),0)+_xlfn.IFERROR(IF(Simulador!$U$30=1,0,IF($AK133&lt;=0,0,IF(Simulador!$D$22&gt;0,Simulador!$D$22,Simulador!$O$24)*Simulador!$AA$44)),0)</f>
        <v>0</v>
      </c>
      <c r="AQ133" s="90">
        <f t="shared" si="31"/>
        <v>0</v>
      </c>
      <c r="AR133" s="26">
        <f t="shared" si="43"/>
        <v>0</v>
      </c>
      <c r="AS133">
        <f t="shared" si="38"/>
        <v>0</v>
      </c>
      <c r="AT133" s="549">
        <f t="shared" si="44"/>
      </c>
      <c r="AU133" s="404">
        <f t="shared" si="39"/>
        <v>0</v>
      </c>
      <c r="AV133" s="52">
        <v>119</v>
      </c>
      <c r="AW133" s="27"/>
      <c r="AX133" s="424"/>
      <c r="AZ133" s="52"/>
    </row>
    <row r="134" spans="1:52" ht="12.75">
      <c r="A134" s="503">
        <v>120</v>
      </c>
      <c r="B134" s="89">
        <f>IF(R133&lt;=0.01,0,R133)</f>
        <v>0</v>
      </c>
      <c r="C134" s="89"/>
      <c r="D134" s="90">
        <f>IF(B134+F134-D133&lt;=0,B134+F134,IF(AND(OR(Simulador!$U$39=2,Simulador!$U$39=7),J133=0),_xlfn.IFERROR((((P134/360*AU134)/(1-(1+(P134/360*AU134))^-AS134))*B134)*(1+AA134),0),IF($AF$3=2,B134*AJ134,_xlfn.IFERROR((((P134/360*AU134)/(1-(1+(P134/360*AU134))^-AS134))*B134)*(1+AA134),0))))</f>
        <v>0</v>
      </c>
      <c r="E134" s="90"/>
      <c r="F134" s="90">
        <f t="shared" si="32"/>
        <v>0</v>
      </c>
      <c r="G134" s="90"/>
      <c r="H134" s="90">
        <f>D134-F134</f>
        <v>0</v>
      </c>
      <c r="I134" s="91"/>
      <c r="J134" s="92"/>
      <c r="K134" s="91"/>
      <c r="L134" s="90">
        <f>IF(Simulador!$T$41=1,0,J134*Simulador!$W$39*1.16)</f>
        <v>0</v>
      </c>
      <c r="M134" s="90"/>
      <c r="N134" s="93">
        <f>IF(B134-H134=0,0,N132)</f>
        <v>0</v>
      </c>
      <c r="O134" s="12"/>
      <c r="P134" s="544">
        <f t="shared" si="42"/>
        <v>0</v>
      </c>
      <c r="Q134" s="4"/>
      <c r="R134" s="90">
        <f t="shared" si="33"/>
        <v>0</v>
      </c>
      <c r="S134" s="90"/>
      <c r="T134" s="90">
        <f>_xlfn.IFERROR(IF(Simulador!$U$30=1,0,IF($B134&lt;=0,0,$B134*Simulador!$AA$43)),0)</f>
        <v>0</v>
      </c>
      <c r="U134" s="90"/>
      <c r="V134" s="90">
        <f>_xlfn.IFERROR(IF(Simulador!$U$30=1,0,IF($B134&lt;=0,0,IF(Simulador!$D$22&gt;0,Simulador!$D$22,Simulador!$O$24)*Simulador!$AA$44)),0)</f>
        <v>0</v>
      </c>
      <c r="W134" s="90"/>
      <c r="X134" s="90"/>
      <c r="Y134" s="90">
        <f t="shared" si="29"/>
        <v>0</v>
      </c>
      <c r="Z134" s="13"/>
      <c r="AA134" s="18"/>
      <c r="AB134" s="23"/>
      <c r="AC134" s="364"/>
      <c r="AD134" s="222">
        <v>10</v>
      </c>
      <c r="AE134" s="219">
        <v>0</v>
      </c>
      <c r="AF134" s="269">
        <f t="shared" si="34"/>
        <v>0</v>
      </c>
      <c r="AG134" s="209">
        <f t="shared" si="35"/>
        <v>0</v>
      </c>
      <c r="AH134" s="209">
        <f t="shared" si="36"/>
        <v>0</v>
      </c>
      <c r="AI134" s="219">
        <f t="shared" si="30"/>
        <v>0</v>
      </c>
      <c r="AJ134" s="425">
        <f>_xlfn.IFERROR((AL134/AK134),0)</f>
        <v>0</v>
      </c>
      <c r="AK134" s="57">
        <f t="shared" si="24"/>
        <v>0</v>
      </c>
      <c r="AL134" s="90">
        <f t="shared" si="25"/>
        <v>0</v>
      </c>
      <c r="AM134" s="58">
        <f t="shared" si="26"/>
        <v>0</v>
      </c>
      <c r="AN134" s="57">
        <f t="shared" si="27"/>
        <v>0</v>
      </c>
      <c r="AO134" s="432">
        <f t="shared" si="28"/>
        <v>0</v>
      </c>
      <c r="AP134" s="90">
        <f>_xlfn.IFERROR(IF(Simulador!$U$30=1,0,IF($AK134&lt;=0.01,0,$AK134*Simulador!$AA$43)),0)+_xlfn.IFERROR(IF(Simulador!$U$30=1,0,IF($AK134&lt;=0.01,0,IF(Simulador!$D$22&gt;0,Simulador!$D$22,Simulador!$O$24)*Simulador!$AA$44)),0)</f>
        <v>0</v>
      </c>
      <c r="AQ134" s="90">
        <f t="shared" si="31"/>
        <v>0</v>
      </c>
      <c r="AR134" s="26">
        <f t="shared" si="43"/>
        <v>0</v>
      </c>
      <c r="AS134">
        <f t="shared" si="38"/>
        <v>0</v>
      </c>
      <c r="AT134" s="549">
        <f t="shared" si="44"/>
      </c>
      <c r="AU134" s="404">
        <f t="shared" si="39"/>
        <v>0</v>
      </c>
      <c r="AV134" s="52">
        <v>120</v>
      </c>
      <c r="AW134" s="27"/>
      <c r="AX134" s="424"/>
      <c r="AZ134" s="52"/>
    </row>
    <row r="135" spans="1:52" ht="12.75">
      <c r="A135" s="503">
        <f>+A134+1</f>
        <v>121</v>
      </c>
      <c r="B135" s="89">
        <f aca="true" t="shared" si="45" ref="B135:B198">IF(R134&lt;=0.01,0,R134)</f>
        <v>0</v>
      </c>
      <c r="C135" s="89"/>
      <c r="D135" s="90">
        <f>IF(B135+F135-D134&lt;=0,B135+F135,IF(AND(OR(Simulador!$U$39=2,Simulador!$U$39=7),J134=0),_xlfn.IFERROR((((P135/360*AU135)/(1-(1+(P135/360*AU135))^-AS135))*B135)*(1+AA135),0),IF($AF$3=2,B135*AJ135,_xlfn.IFERROR((((P135/360*AU135)/(1-(1+(P135/360*AU135))^-AS135))*B135)*(1+AA135),0))))</f>
        <v>0</v>
      </c>
      <c r="E135" s="90"/>
      <c r="F135" s="90">
        <f>_xlfn.IFERROR(IF(B135=0,0,P135/360*AU135*B135),0)</f>
        <v>0</v>
      </c>
      <c r="G135" s="90"/>
      <c r="H135" s="90">
        <f>D135-F135</f>
        <v>0</v>
      </c>
      <c r="I135" s="91"/>
      <c r="J135" s="92"/>
      <c r="K135" s="91"/>
      <c r="L135" s="90">
        <f>IF(Simulador!$T$41=1,0,J135*Simulador!$W$39*1.16)</f>
        <v>0</v>
      </c>
      <c r="M135" s="90"/>
      <c r="N135" s="93"/>
      <c r="O135" s="12"/>
      <c r="P135" s="544">
        <f>_xlfn.IFERROR(IF(B135=0,0,IF(Simulador!$D$26&lt;&gt;0,MIN(Simulador!$D$26+Simulador!$U$75,$AG$12),P134)),0)</f>
        <v>0</v>
      </c>
      <c r="Q135" s="4"/>
      <c r="R135" s="90">
        <f>B135-H135-J135+L135-N135</f>
        <v>0</v>
      </c>
      <c r="S135" s="90"/>
      <c r="T135" s="90">
        <f>_xlfn.IFERROR(IF(Simulador!$U$30=1,0,IF($B135&lt;=0,0,$B135*Simulador!$AA$43)),0)</f>
        <v>0</v>
      </c>
      <c r="U135" s="90"/>
      <c r="V135" s="90">
        <f>_xlfn.IFERROR(IF(Simulador!$U$30=1,0,IF($B135&lt;=0,0,IF(Simulador!$D$22&gt;0,Simulador!$D$22,Simulador!$O$24)*Simulador!$AA$44)),0)</f>
        <v>0</v>
      </c>
      <c r="W135" s="90"/>
      <c r="X135" s="90"/>
      <c r="Y135" s="90">
        <f aca="true" t="shared" si="46" ref="Y135:Y198">IF(B135&lt;=0,0,D135+J135+T135+V135)</f>
        <v>0</v>
      </c>
      <c r="Z135" s="13"/>
      <c r="AA135" s="18"/>
      <c r="AB135" s="23"/>
      <c r="AC135" s="364"/>
      <c r="AD135" s="222">
        <v>10</v>
      </c>
      <c r="AE135" s="219">
        <v>1</v>
      </c>
      <c r="AF135" s="269">
        <f aca="true" t="shared" si="47" ref="AF135:AF198">IF(R135&lt;=0.01,IF(R134&gt;0.01,A135,0),0)</f>
        <v>0</v>
      </c>
      <c r="AG135" s="209">
        <f aca="true" t="shared" si="48" ref="AG135:AG198">IF(AF135&gt;0,AD135,0)</f>
        <v>0</v>
      </c>
      <c r="AH135" s="209">
        <f aca="true" t="shared" si="49" ref="AH135:AH198">IF(AF135&gt;0,AE135,0)</f>
        <v>0</v>
      </c>
      <c r="AI135" s="219">
        <f aca="true" t="shared" si="50" ref="AI135:AI198">Y135</f>
        <v>0</v>
      </c>
      <c r="AJ135" s="425">
        <f aca="true" t="shared" si="51" ref="AJ135:AJ198">_xlfn.IFERROR((AL135/AK135),0)</f>
        <v>0</v>
      </c>
      <c r="AK135" s="57">
        <f aca="true" t="shared" si="52" ref="AK135:AK198">+AO134</f>
        <v>0</v>
      </c>
      <c r="AL135" s="90">
        <f aca="true" t="shared" si="53" ref="AL135:AL198">_xlfn.IFERROR(((AR135/360*AU135)/(1-(1+(AR135/360*AU135))^-AS135))*AK135,0)</f>
        <v>0</v>
      </c>
      <c r="AM135" s="58">
        <f aca="true" t="shared" si="54" ref="AM135:AM198">_xlfn.IFERROR(IF(AK135=0,0,AR135/360*AU135*AK135),0)</f>
        <v>0</v>
      </c>
      <c r="AN135" s="57">
        <f aca="true" t="shared" si="55" ref="AN135:AN198">+AL135-AM135</f>
        <v>0</v>
      </c>
      <c r="AO135" s="432">
        <f aca="true" t="shared" si="56" ref="AO135:AO198">+AK135-AN135</f>
        <v>0</v>
      </c>
      <c r="AP135" s="90">
        <f>_xlfn.IFERROR(IF(Simulador!$U$30=1,0,IF($AK135&lt;=0.01,0,$AK135*Simulador!$AA$43)),0)+_xlfn.IFERROR(IF(Simulador!$U$30=1,0,IF($AK135&lt;=0.01,0,IF(Simulador!$D$22&gt;0,Simulador!$D$22,Simulador!$O$24)*Simulador!$AA$44)),0)</f>
        <v>0</v>
      </c>
      <c r="AQ135" s="90">
        <f aca="true" t="shared" si="57" ref="AQ135:AQ198">AL135+AP135</f>
        <v>0</v>
      </c>
      <c r="AR135" s="26">
        <f aca="true" t="shared" si="58" ref="AR135:AR198">_xlfn.IFERROR(IF(AK135=0,0,AR134),0)</f>
        <v>0</v>
      </c>
      <c r="AS135">
        <f aca="true" t="shared" si="59" ref="AS135:AS198">_xlfn.IFERROR(IF(AK135&lt;=0.01,0,AS134-1),0)</f>
        <v>0</v>
      </c>
      <c r="AT135" s="549">
        <f aca="true" t="shared" si="60" ref="AT135:AT198">IF(AK135=0,"",DATE(YEAR(AT134),MONTH(AT134)+1,1))</f>
      </c>
      <c r="AU135" s="404">
        <f aca="true" t="shared" si="61" ref="AU135:AU198">_xlfn.IFERROR(DAY(DATE(YEAR(AT135),MONTH(AT135)+1,0)),0)</f>
        <v>0</v>
      </c>
      <c r="AV135" s="52">
        <v>120</v>
      </c>
      <c r="AW135" s="27"/>
      <c r="AX135" s="424"/>
      <c r="AZ135" s="52"/>
    </row>
    <row r="136" spans="1:52" ht="12.75">
      <c r="A136" s="503">
        <f aca="true" t="shared" si="62" ref="A136:A199">+A135+1</f>
        <v>122</v>
      </c>
      <c r="B136" s="89">
        <f t="shared" si="45"/>
        <v>0</v>
      </c>
      <c r="C136" s="89"/>
      <c r="D136" s="90">
        <f>IF(B136+F136-D135&lt;=0,B136+F136,IF(AND(OR(Simulador!$U$39=2,Simulador!$U$39=7),J135=0),_xlfn.IFERROR((((P136/360*AU136)/(1-(1+(P136/360*AU136))^-AS136))*B136)*(1+AA136),0),IF($AF$3=2,B136*AJ136,_xlfn.IFERROR((((P136/360*AU136)/(1-(1+(P136/360*AU136))^-AS136))*B136)*(1+AA136),0))))</f>
        <v>0</v>
      </c>
      <c r="E136" s="90"/>
      <c r="F136" s="90">
        <f aca="true" t="shared" si="63" ref="F136:F198">_xlfn.IFERROR(IF(B136=0,0,P136/360*AU136*B136),0)</f>
        <v>0</v>
      </c>
      <c r="G136" s="90"/>
      <c r="H136" s="90">
        <f aca="true" t="shared" si="64" ref="H136:H198">D136-F136</f>
        <v>0</v>
      </c>
      <c r="I136" s="91"/>
      <c r="J136" s="92"/>
      <c r="K136" s="91"/>
      <c r="L136" s="90">
        <f>IF(Simulador!$T$41=1,0,J136*Simulador!$W$39*1.16)</f>
        <v>0</v>
      </c>
      <c r="M136" s="90"/>
      <c r="N136" s="93">
        <f aca="true" t="shared" si="65" ref="N136:N198">IF(B136-H136=0,0,N134)</f>
        <v>0</v>
      </c>
      <c r="O136" s="12"/>
      <c r="P136" s="544">
        <f aca="true" t="shared" si="66" ref="P136:P198">_xlfn.IFERROR(IF(B136=0,0,P135),0)</f>
        <v>0</v>
      </c>
      <c r="Q136" s="4"/>
      <c r="R136" s="90">
        <f aca="true" t="shared" si="67" ref="R136:R198">B136-H136-J136+L136-N136</f>
        <v>0</v>
      </c>
      <c r="S136" s="90"/>
      <c r="T136" s="90">
        <f>_xlfn.IFERROR(IF(Simulador!$U$30=1,0,IF($B136&lt;=0,0,$B136*Simulador!$AA$43)),0)</f>
        <v>0</v>
      </c>
      <c r="U136" s="90"/>
      <c r="V136" s="90">
        <f>_xlfn.IFERROR(IF(Simulador!$U$30=1,0,IF($B136&lt;=0,0,IF(Simulador!$D$22&gt;0,Simulador!$D$22,Simulador!$O$24)*Simulador!$AA$44)),0)</f>
        <v>0</v>
      </c>
      <c r="W136" s="90"/>
      <c r="X136" s="90"/>
      <c r="Y136" s="90">
        <f t="shared" si="46"/>
        <v>0</v>
      </c>
      <c r="Z136" s="13"/>
      <c r="AA136" s="18"/>
      <c r="AB136" s="23"/>
      <c r="AC136" s="364"/>
      <c r="AD136" s="222">
        <v>10</v>
      </c>
      <c r="AE136" s="220">
        <v>2</v>
      </c>
      <c r="AF136" s="269">
        <f t="shared" si="47"/>
        <v>0</v>
      </c>
      <c r="AG136" s="209">
        <f t="shared" si="48"/>
        <v>0</v>
      </c>
      <c r="AH136" s="209">
        <f t="shared" si="49"/>
        <v>0</v>
      </c>
      <c r="AI136" s="219">
        <f t="shared" si="50"/>
        <v>0</v>
      </c>
      <c r="AJ136" s="425">
        <f t="shared" si="51"/>
        <v>0</v>
      </c>
      <c r="AK136" s="57">
        <f t="shared" si="52"/>
        <v>0</v>
      </c>
      <c r="AL136" s="90">
        <f t="shared" si="53"/>
        <v>0</v>
      </c>
      <c r="AM136" s="58">
        <f t="shared" si="54"/>
        <v>0</v>
      </c>
      <c r="AN136" s="57">
        <f t="shared" si="55"/>
        <v>0</v>
      </c>
      <c r="AO136" s="432">
        <f t="shared" si="56"/>
        <v>0</v>
      </c>
      <c r="AP136" s="90">
        <f>_xlfn.IFERROR(IF(Simulador!$U$30=1,0,IF($AK136&lt;=0.01,0,$AK136*Simulador!$AA$43)),0)+_xlfn.IFERROR(IF(Simulador!$U$30=1,0,IF($AK136&lt;=0.01,0,IF(Simulador!$D$22&gt;0,Simulador!$D$22,Simulador!$O$24)*Simulador!$AA$44)),0)</f>
        <v>0</v>
      </c>
      <c r="AQ136" s="90">
        <f t="shared" si="57"/>
        <v>0</v>
      </c>
      <c r="AR136" s="26">
        <f t="shared" si="58"/>
        <v>0</v>
      </c>
      <c r="AS136">
        <f t="shared" si="59"/>
        <v>0</v>
      </c>
      <c r="AT136" s="549">
        <f t="shared" si="60"/>
      </c>
      <c r="AU136" s="404">
        <f t="shared" si="61"/>
        <v>0</v>
      </c>
      <c r="AV136" s="52">
        <v>120</v>
      </c>
      <c r="AW136" s="27"/>
      <c r="AX136" s="424"/>
      <c r="AZ136" s="52"/>
    </row>
    <row r="137" spans="1:52" ht="12.75">
      <c r="A137" s="503">
        <f t="shared" si="62"/>
        <v>123</v>
      </c>
      <c r="B137" s="89">
        <f t="shared" si="45"/>
        <v>0</v>
      </c>
      <c r="C137" s="89"/>
      <c r="D137" s="90">
        <f>IF(B137+F137-D136&lt;=0,B137+F137,IF(AND(OR(Simulador!$U$39=2,Simulador!$U$39=7),J136=0),_xlfn.IFERROR((((P137/360*AU137)/(1-(1+(P137/360*AU137))^-AS137))*B137)*(1+AA137),0),IF($AF$3=2,B137*AJ137,_xlfn.IFERROR((((P137/360*AU137)/(1-(1+(P137/360*AU137))^-AS137))*B137)*(1+AA137),0))))</f>
        <v>0</v>
      </c>
      <c r="E137" s="90"/>
      <c r="F137" s="90">
        <f t="shared" si="63"/>
        <v>0</v>
      </c>
      <c r="G137" s="90"/>
      <c r="H137" s="90">
        <f t="shared" si="64"/>
        <v>0</v>
      </c>
      <c r="I137" s="91"/>
      <c r="J137" s="92"/>
      <c r="K137" s="91"/>
      <c r="L137" s="90">
        <f>IF(Simulador!$T$41=1,0,J137*Simulador!$W$39*1.16)</f>
        <v>0</v>
      </c>
      <c r="M137" s="90"/>
      <c r="N137" s="93"/>
      <c r="O137" s="12"/>
      <c r="P137" s="544">
        <f t="shared" si="66"/>
        <v>0</v>
      </c>
      <c r="Q137" s="4"/>
      <c r="R137" s="90">
        <f t="shared" si="67"/>
        <v>0</v>
      </c>
      <c r="S137" s="90"/>
      <c r="T137" s="90">
        <f>_xlfn.IFERROR(IF(Simulador!$U$30=1,0,IF($B137&lt;=0,0,$B137*Simulador!$AA$43)),0)</f>
        <v>0</v>
      </c>
      <c r="U137" s="90"/>
      <c r="V137" s="90">
        <f>_xlfn.IFERROR(IF(Simulador!$U$30=1,0,IF($B137&lt;=0,0,IF(Simulador!$D$22&gt;0,Simulador!$D$22,Simulador!$O$24)*Simulador!$AA$44)),0)</f>
        <v>0</v>
      </c>
      <c r="W137" s="90"/>
      <c r="X137" s="90"/>
      <c r="Y137" s="90">
        <f t="shared" si="46"/>
        <v>0</v>
      </c>
      <c r="Z137" s="13"/>
      <c r="AA137" s="18"/>
      <c r="AB137" s="23"/>
      <c r="AC137" s="364"/>
      <c r="AD137" s="222">
        <v>10</v>
      </c>
      <c r="AE137" s="220">
        <v>3</v>
      </c>
      <c r="AF137" s="269">
        <f t="shared" si="47"/>
        <v>0</v>
      </c>
      <c r="AG137" s="209">
        <f t="shared" si="48"/>
        <v>0</v>
      </c>
      <c r="AH137" s="209">
        <f t="shared" si="49"/>
        <v>0</v>
      </c>
      <c r="AI137" s="219">
        <f t="shared" si="50"/>
        <v>0</v>
      </c>
      <c r="AJ137" s="425">
        <f t="shared" si="51"/>
        <v>0</v>
      </c>
      <c r="AK137" s="57">
        <f t="shared" si="52"/>
        <v>0</v>
      </c>
      <c r="AL137" s="90">
        <f t="shared" si="53"/>
        <v>0</v>
      </c>
      <c r="AM137" s="58">
        <f t="shared" si="54"/>
        <v>0</v>
      </c>
      <c r="AN137" s="57">
        <f t="shared" si="55"/>
        <v>0</v>
      </c>
      <c r="AO137" s="432">
        <f t="shared" si="56"/>
        <v>0</v>
      </c>
      <c r="AP137" s="90">
        <f>_xlfn.IFERROR(IF(Simulador!$U$30=1,0,IF($AK137&lt;=0.01,0,$AK137*Simulador!$AA$43)),0)+_xlfn.IFERROR(IF(Simulador!$U$30=1,0,IF($AK137&lt;=0.01,0,IF(Simulador!$D$22&gt;0,Simulador!$D$22,Simulador!$O$24)*Simulador!$AA$44)),0)</f>
        <v>0</v>
      </c>
      <c r="AQ137" s="90">
        <f t="shared" si="57"/>
        <v>0</v>
      </c>
      <c r="AR137" s="26">
        <f t="shared" si="58"/>
        <v>0</v>
      </c>
      <c r="AS137">
        <f t="shared" si="59"/>
        <v>0</v>
      </c>
      <c r="AT137" s="549">
        <f t="shared" si="60"/>
      </c>
      <c r="AU137" s="404">
        <f t="shared" si="61"/>
        <v>0</v>
      </c>
      <c r="AV137" s="52">
        <v>120</v>
      </c>
      <c r="AW137" s="27"/>
      <c r="AX137" s="424"/>
      <c r="AZ137" s="52"/>
    </row>
    <row r="138" spans="1:52" ht="12.75">
      <c r="A138" s="503">
        <f t="shared" si="62"/>
        <v>124</v>
      </c>
      <c r="B138" s="89">
        <f t="shared" si="45"/>
        <v>0</v>
      </c>
      <c r="C138" s="89"/>
      <c r="D138" s="90">
        <f>IF(B138+F138-D137&lt;=0,B138+F138,IF(AND(OR(Simulador!$U$39=2,Simulador!$U$39=7),J137=0),_xlfn.IFERROR((((P138/360*AU138)/(1-(1+(P138/360*AU138))^-AS138))*B138)*(1+AA138),0),IF($AF$3=2,B138*AJ138,_xlfn.IFERROR((((P138/360*AU138)/(1-(1+(P138/360*AU138))^-AS138))*B138)*(1+AA138),0))))</f>
        <v>0</v>
      </c>
      <c r="E138" s="90"/>
      <c r="F138" s="90">
        <f t="shared" si="63"/>
        <v>0</v>
      </c>
      <c r="G138" s="90"/>
      <c r="H138" s="90">
        <f t="shared" si="64"/>
        <v>0</v>
      </c>
      <c r="I138" s="91"/>
      <c r="J138" s="92"/>
      <c r="K138" s="91"/>
      <c r="L138" s="90">
        <f>IF(Simulador!$T$41=1,0,J138*Simulador!$W$39*1.16)</f>
        <v>0</v>
      </c>
      <c r="M138" s="90"/>
      <c r="N138" s="93">
        <f t="shared" si="65"/>
        <v>0</v>
      </c>
      <c r="O138" s="12"/>
      <c r="P138" s="544">
        <f t="shared" si="66"/>
        <v>0</v>
      </c>
      <c r="Q138" s="4"/>
      <c r="R138" s="90">
        <f t="shared" si="67"/>
        <v>0</v>
      </c>
      <c r="S138" s="90"/>
      <c r="T138" s="90">
        <f>_xlfn.IFERROR(IF(Simulador!$U$30=1,0,IF($B138&lt;=0,0,$B138*Simulador!$AA$43)),0)</f>
        <v>0</v>
      </c>
      <c r="U138" s="90"/>
      <c r="V138" s="90">
        <f>_xlfn.IFERROR(IF(Simulador!$U$30=1,0,IF($B138&lt;=0,0,IF(Simulador!$D$22&gt;0,Simulador!$D$22,Simulador!$O$24)*Simulador!$AA$44)),0)</f>
        <v>0</v>
      </c>
      <c r="W138" s="90"/>
      <c r="X138" s="90"/>
      <c r="Y138" s="90">
        <f t="shared" si="46"/>
        <v>0</v>
      </c>
      <c r="Z138" s="13"/>
      <c r="AA138" s="18"/>
      <c r="AB138" s="23"/>
      <c r="AC138" s="364"/>
      <c r="AD138" s="222">
        <v>10</v>
      </c>
      <c r="AE138" s="219">
        <v>4</v>
      </c>
      <c r="AF138" s="269">
        <f t="shared" si="47"/>
        <v>0</v>
      </c>
      <c r="AG138" s="209">
        <f t="shared" si="48"/>
        <v>0</v>
      </c>
      <c r="AH138" s="209">
        <f t="shared" si="49"/>
        <v>0</v>
      </c>
      <c r="AI138" s="219">
        <f t="shared" si="50"/>
        <v>0</v>
      </c>
      <c r="AJ138" s="425">
        <f t="shared" si="51"/>
        <v>0</v>
      </c>
      <c r="AK138" s="57">
        <f t="shared" si="52"/>
        <v>0</v>
      </c>
      <c r="AL138" s="90">
        <f t="shared" si="53"/>
        <v>0</v>
      </c>
      <c r="AM138" s="58">
        <f t="shared" si="54"/>
        <v>0</v>
      </c>
      <c r="AN138" s="57">
        <f t="shared" si="55"/>
        <v>0</v>
      </c>
      <c r="AO138" s="432">
        <f t="shared" si="56"/>
        <v>0</v>
      </c>
      <c r="AP138" s="90">
        <f>_xlfn.IFERROR(IF(Simulador!$U$30=1,0,IF($AK138&lt;=0.01,0,$AK138*Simulador!$AA$43)),0)+_xlfn.IFERROR(IF(Simulador!$U$30=1,0,IF($AK138&lt;=0.01,0,IF(Simulador!$D$22&gt;0,Simulador!$D$22,Simulador!$O$24)*Simulador!$AA$44)),0)</f>
        <v>0</v>
      </c>
      <c r="AQ138" s="90">
        <f t="shared" si="57"/>
        <v>0</v>
      </c>
      <c r="AR138" s="26">
        <f t="shared" si="58"/>
        <v>0</v>
      </c>
      <c r="AS138">
        <f t="shared" si="59"/>
        <v>0</v>
      </c>
      <c r="AT138" s="549">
        <f t="shared" si="60"/>
      </c>
      <c r="AU138" s="404">
        <f t="shared" si="61"/>
        <v>0</v>
      </c>
      <c r="AV138" s="52">
        <v>120</v>
      </c>
      <c r="AW138" s="27"/>
      <c r="AX138" s="424"/>
      <c r="AZ138" s="52"/>
    </row>
    <row r="139" spans="1:52" ht="12.75">
      <c r="A139" s="503">
        <f t="shared" si="62"/>
        <v>125</v>
      </c>
      <c r="B139" s="89">
        <f t="shared" si="45"/>
        <v>0</v>
      </c>
      <c r="C139" s="89"/>
      <c r="D139" s="90">
        <f>IF(B139+F139-D138&lt;=0,B139+F139,IF(AND(OR(Simulador!$U$39=2,Simulador!$U$39=7),J138=0),_xlfn.IFERROR((((P139/360*AU139)/(1-(1+(P139/360*AU139))^-AS139))*B139)*(1+AA139),0),IF($AF$3=2,B139*AJ139,_xlfn.IFERROR((((P139/360*AU139)/(1-(1+(P139/360*AU139))^-AS139))*B139)*(1+AA139),0))))</f>
        <v>0</v>
      </c>
      <c r="E139" s="90"/>
      <c r="F139" s="90">
        <f t="shared" si="63"/>
        <v>0</v>
      </c>
      <c r="G139" s="90"/>
      <c r="H139" s="90">
        <f t="shared" si="64"/>
        <v>0</v>
      </c>
      <c r="I139" s="91"/>
      <c r="J139" s="92"/>
      <c r="K139" s="91"/>
      <c r="L139" s="90">
        <f>IF(Simulador!$T$41=1,0,J139*Simulador!$W$39*1.16)</f>
        <v>0</v>
      </c>
      <c r="M139" s="90"/>
      <c r="N139" s="93"/>
      <c r="O139" s="12"/>
      <c r="P139" s="544">
        <f t="shared" si="66"/>
        <v>0</v>
      </c>
      <c r="Q139" s="4"/>
      <c r="R139" s="90">
        <f t="shared" si="67"/>
        <v>0</v>
      </c>
      <c r="S139" s="90"/>
      <c r="T139" s="90">
        <f>_xlfn.IFERROR(IF(Simulador!$U$30=1,0,IF($B139&lt;=0,0,$B139*Simulador!$AA$43)),0)</f>
        <v>0</v>
      </c>
      <c r="U139" s="90"/>
      <c r="V139" s="90">
        <f>_xlfn.IFERROR(IF(Simulador!$U$30=1,0,IF($B139&lt;=0,0,IF(Simulador!$D$22&gt;0,Simulador!$D$22,Simulador!$O$24)*Simulador!$AA$44)),0)</f>
        <v>0</v>
      </c>
      <c r="W139" s="90"/>
      <c r="X139" s="90"/>
      <c r="Y139" s="90">
        <f t="shared" si="46"/>
        <v>0</v>
      </c>
      <c r="Z139" s="13"/>
      <c r="AA139" s="18"/>
      <c r="AB139" s="23"/>
      <c r="AC139" s="364"/>
      <c r="AD139" s="222">
        <v>10</v>
      </c>
      <c r="AE139" s="219">
        <v>5</v>
      </c>
      <c r="AF139" s="269">
        <f t="shared" si="47"/>
        <v>0</v>
      </c>
      <c r="AG139" s="209">
        <f t="shared" si="48"/>
        <v>0</v>
      </c>
      <c r="AH139" s="209">
        <f t="shared" si="49"/>
        <v>0</v>
      </c>
      <c r="AI139" s="219">
        <f t="shared" si="50"/>
        <v>0</v>
      </c>
      <c r="AJ139" s="425">
        <f t="shared" si="51"/>
        <v>0</v>
      </c>
      <c r="AK139" s="57">
        <f t="shared" si="52"/>
        <v>0</v>
      </c>
      <c r="AL139" s="90">
        <f t="shared" si="53"/>
        <v>0</v>
      </c>
      <c r="AM139" s="58">
        <f t="shared" si="54"/>
        <v>0</v>
      </c>
      <c r="AN139" s="57">
        <f t="shared" si="55"/>
        <v>0</v>
      </c>
      <c r="AO139" s="432">
        <f t="shared" si="56"/>
        <v>0</v>
      </c>
      <c r="AP139" s="90">
        <f>_xlfn.IFERROR(IF(Simulador!$U$30=1,0,IF($AK139&lt;=0.01,0,$AK139*Simulador!$AA$43)),0)+_xlfn.IFERROR(IF(Simulador!$U$30=1,0,IF($AK139&lt;=0.01,0,IF(Simulador!$D$22&gt;0,Simulador!$D$22,Simulador!$O$24)*Simulador!$AA$44)),0)</f>
        <v>0</v>
      </c>
      <c r="AQ139" s="90">
        <f t="shared" si="57"/>
        <v>0</v>
      </c>
      <c r="AR139" s="26">
        <f t="shared" si="58"/>
        <v>0</v>
      </c>
      <c r="AS139">
        <f t="shared" si="59"/>
        <v>0</v>
      </c>
      <c r="AT139" s="549">
        <f t="shared" si="60"/>
      </c>
      <c r="AU139" s="404">
        <f t="shared" si="61"/>
        <v>0</v>
      </c>
      <c r="AV139" s="52">
        <v>120</v>
      </c>
      <c r="AW139" s="27"/>
      <c r="AX139" s="424"/>
      <c r="AZ139" s="52"/>
    </row>
    <row r="140" spans="1:52" ht="12.75">
      <c r="A140" s="503">
        <f t="shared" si="62"/>
        <v>126</v>
      </c>
      <c r="B140" s="89">
        <f t="shared" si="45"/>
        <v>0</v>
      </c>
      <c r="C140" s="89"/>
      <c r="D140" s="90">
        <f>IF(B140+F140-D139&lt;=0,B140+F140,IF(AND(OR(Simulador!$U$39=2,Simulador!$U$39=7),J139=0),_xlfn.IFERROR((((P140/360*AU140)/(1-(1+(P140/360*AU140))^-AS140))*B140)*(1+AA140),0),IF($AF$3=2,B140*AJ140,_xlfn.IFERROR((((P140/360*AU140)/(1-(1+(P140/360*AU140))^-AS140))*B140)*(1+AA140),0))))</f>
        <v>0</v>
      </c>
      <c r="E140" s="90"/>
      <c r="F140" s="90">
        <f t="shared" si="63"/>
        <v>0</v>
      </c>
      <c r="G140" s="90"/>
      <c r="H140" s="90">
        <f t="shared" si="64"/>
        <v>0</v>
      </c>
      <c r="I140" s="91"/>
      <c r="J140" s="92"/>
      <c r="K140" s="91"/>
      <c r="L140" s="90">
        <f>IF(Simulador!$T$41=1,0,J140*Simulador!$W$39*1.16)</f>
        <v>0</v>
      </c>
      <c r="M140" s="90"/>
      <c r="N140" s="93">
        <f t="shared" si="65"/>
        <v>0</v>
      </c>
      <c r="O140" s="12"/>
      <c r="P140" s="544">
        <f t="shared" si="66"/>
        <v>0</v>
      </c>
      <c r="Q140" s="4"/>
      <c r="R140" s="90">
        <f t="shared" si="67"/>
        <v>0</v>
      </c>
      <c r="S140" s="90"/>
      <c r="T140" s="90">
        <f>_xlfn.IFERROR(IF(Simulador!$U$30=1,0,IF($B140&lt;=0,0,$B140*Simulador!$AA$43)),0)</f>
        <v>0</v>
      </c>
      <c r="U140" s="90"/>
      <c r="V140" s="90">
        <f>_xlfn.IFERROR(IF(Simulador!$U$30=1,0,IF($B140&lt;=0,0,IF(Simulador!$D$22&gt;0,Simulador!$D$22,Simulador!$O$24)*Simulador!$AA$44)),0)</f>
        <v>0</v>
      </c>
      <c r="W140" s="90"/>
      <c r="X140" s="90"/>
      <c r="Y140" s="90">
        <f t="shared" si="46"/>
        <v>0</v>
      </c>
      <c r="Z140" s="13"/>
      <c r="AA140" s="18"/>
      <c r="AB140" s="23"/>
      <c r="AC140" s="364"/>
      <c r="AD140" s="222">
        <v>10</v>
      </c>
      <c r="AE140" s="219">
        <v>6</v>
      </c>
      <c r="AF140" s="269">
        <f t="shared" si="47"/>
        <v>0</v>
      </c>
      <c r="AG140" s="209">
        <f t="shared" si="48"/>
        <v>0</v>
      </c>
      <c r="AH140" s="209">
        <f t="shared" si="49"/>
        <v>0</v>
      </c>
      <c r="AI140" s="219">
        <f t="shared" si="50"/>
        <v>0</v>
      </c>
      <c r="AJ140" s="425">
        <f t="shared" si="51"/>
        <v>0</v>
      </c>
      <c r="AK140" s="57">
        <f t="shared" si="52"/>
        <v>0</v>
      </c>
      <c r="AL140" s="90">
        <f t="shared" si="53"/>
        <v>0</v>
      </c>
      <c r="AM140" s="58">
        <f t="shared" si="54"/>
        <v>0</v>
      </c>
      <c r="AN140" s="57">
        <f t="shared" si="55"/>
        <v>0</v>
      </c>
      <c r="AO140" s="432">
        <f t="shared" si="56"/>
        <v>0</v>
      </c>
      <c r="AP140" s="90">
        <f>_xlfn.IFERROR(IF(Simulador!$U$30=1,0,IF($AK140&lt;=0.01,0,$AK140*Simulador!$AA$43)),0)+_xlfn.IFERROR(IF(Simulador!$U$30=1,0,IF($AK140&lt;=0.01,0,IF(Simulador!$D$22&gt;0,Simulador!$D$22,Simulador!$O$24)*Simulador!$AA$44)),0)</f>
        <v>0</v>
      </c>
      <c r="AQ140" s="90">
        <f t="shared" si="57"/>
        <v>0</v>
      </c>
      <c r="AR140" s="26">
        <f t="shared" si="58"/>
        <v>0</v>
      </c>
      <c r="AS140">
        <f t="shared" si="59"/>
        <v>0</v>
      </c>
      <c r="AT140" s="549">
        <f t="shared" si="60"/>
      </c>
      <c r="AU140" s="404">
        <f t="shared" si="61"/>
        <v>0</v>
      </c>
      <c r="AV140" s="52">
        <v>120</v>
      </c>
      <c r="AW140" s="27"/>
      <c r="AX140" s="424"/>
      <c r="AZ140" s="52"/>
    </row>
    <row r="141" spans="1:52" ht="12.75">
      <c r="A141" s="503">
        <f t="shared" si="62"/>
        <v>127</v>
      </c>
      <c r="B141" s="89">
        <f t="shared" si="45"/>
        <v>0</v>
      </c>
      <c r="C141" s="89"/>
      <c r="D141" s="90">
        <f>IF(B141+F141-D140&lt;=0,B141+F141,IF(AND(OR(Simulador!$U$39=2,Simulador!$U$39=7),J140=0),_xlfn.IFERROR((((P141/360*AU141)/(1-(1+(P141/360*AU141))^-AS141))*B141)*(1+AA141),0),IF($AF$3=2,B141*AJ141,_xlfn.IFERROR((((P141/360*AU141)/(1-(1+(P141/360*AU141))^-AS141))*B141)*(1+AA141),0))))</f>
        <v>0</v>
      </c>
      <c r="E141" s="90"/>
      <c r="F141" s="90">
        <f t="shared" si="63"/>
        <v>0</v>
      </c>
      <c r="G141" s="90"/>
      <c r="H141" s="90">
        <f t="shared" si="64"/>
        <v>0</v>
      </c>
      <c r="I141" s="91"/>
      <c r="J141" s="92"/>
      <c r="K141" s="91"/>
      <c r="L141" s="90">
        <f>IF(Simulador!$T$41=1,0,J141*Simulador!$W$39*1.16)</f>
        <v>0</v>
      </c>
      <c r="M141" s="90"/>
      <c r="N141" s="93"/>
      <c r="O141" s="12"/>
      <c r="P141" s="544">
        <f t="shared" si="66"/>
        <v>0</v>
      </c>
      <c r="Q141" s="4"/>
      <c r="R141" s="90">
        <f t="shared" si="67"/>
        <v>0</v>
      </c>
      <c r="S141" s="90"/>
      <c r="T141" s="90">
        <f>_xlfn.IFERROR(IF(Simulador!$U$30=1,0,IF($B141&lt;=0,0,$B141*Simulador!$AA$43)),0)</f>
        <v>0</v>
      </c>
      <c r="U141" s="90"/>
      <c r="V141" s="90">
        <f>_xlfn.IFERROR(IF(Simulador!$U$30=1,0,IF($B141&lt;=0,0,IF(Simulador!$D$22&gt;0,Simulador!$D$22,Simulador!$O$24)*Simulador!$AA$44)),0)</f>
        <v>0</v>
      </c>
      <c r="W141" s="90"/>
      <c r="X141" s="90"/>
      <c r="Y141" s="90">
        <f t="shared" si="46"/>
        <v>0</v>
      </c>
      <c r="Z141" s="13"/>
      <c r="AA141" s="18"/>
      <c r="AB141" s="23"/>
      <c r="AC141" s="364"/>
      <c r="AD141" s="222">
        <v>10</v>
      </c>
      <c r="AE141" s="219">
        <v>7</v>
      </c>
      <c r="AF141" s="269">
        <f t="shared" si="47"/>
        <v>0</v>
      </c>
      <c r="AG141" s="209">
        <f t="shared" si="48"/>
        <v>0</v>
      </c>
      <c r="AH141" s="209">
        <f t="shared" si="49"/>
        <v>0</v>
      </c>
      <c r="AI141" s="219">
        <f t="shared" si="50"/>
        <v>0</v>
      </c>
      <c r="AJ141" s="425">
        <f t="shared" si="51"/>
        <v>0</v>
      </c>
      <c r="AK141" s="57">
        <f t="shared" si="52"/>
        <v>0</v>
      </c>
      <c r="AL141" s="90">
        <f t="shared" si="53"/>
        <v>0</v>
      </c>
      <c r="AM141" s="58">
        <f t="shared" si="54"/>
        <v>0</v>
      </c>
      <c r="AN141" s="57">
        <f t="shared" si="55"/>
        <v>0</v>
      </c>
      <c r="AO141" s="432">
        <f t="shared" si="56"/>
        <v>0</v>
      </c>
      <c r="AP141" s="90">
        <f>_xlfn.IFERROR(IF(Simulador!$U$30=1,0,IF($AK141&lt;=0.01,0,$AK141*Simulador!$AA$43)),0)+_xlfn.IFERROR(IF(Simulador!$U$30=1,0,IF($AK141&lt;=0.01,0,IF(Simulador!$D$22&gt;0,Simulador!$D$22,Simulador!$O$24)*Simulador!$AA$44)),0)</f>
        <v>0</v>
      </c>
      <c r="AQ141" s="90">
        <f t="shared" si="57"/>
        <v>0</v>
      </c>
      <c r="AR141" s="26">
        <f t="shared" si="58"/>
        <v>0</v>
      </c>
      <c r="AS141">
        <f t="shared" si="59"/>
        <v>0</v>
      </c>
      <c r="AT141" s="549">
        <f t="shared" si="60"/>
      </c>
      <c r="AU141" s="404">
        <f t="shared" si="61"/>
        <v>0</v>
      </c>
      <c r="AV141" s="52">
        <v>120</v>
      </c>
      <c r="AW141" s="27"/>
      <c r="AX141" s="424"/>
      <c r="AZ141" s="52"/>
    </row>
    <row r="142" spans="1:52" ht="12.75">
      <c r="A142" s="503">
        <f t="shared" si="62"/>
        <v>128</v>
      </c>
      <c r="B142" s="89">
        <f t="shared" si="45"/>
        <v>0</v>
      </c>
      <c r="C142" s="89"/>
      <c r="D142" s="90">
        <f>IF(B142+F142-D141&lt;=0,B142+F142,IF(AND(OR(Simulador!$U$39=2,Simulador!$U$39=7),J141=0),_xlfn.IFERROR((((P142/360*AU142)/(1-(1+(P142/360*AU142))^-AS142))*B142)*(1+AA142),0),IF($AF$3=2,B142*AJ142,_xlfn.IFERROR((((P142/360*AU142)/(1-(1+(P142/360*AU142))^-AS142))*B142)*(1+AA142),0))))</f>
        <v>0</v>
      </c>
      <c r="E142" s="90"/>
      <c r="F142" s="90">
        <f t="shared" si="63"/>
        <v>0</v>
      </c>
      <c r="G142" s="90"/>
      <c r="H142" s="90">
        <f t="shared" si="64"/>
        <v>0</v>
      </c>
      <c r="I142" s="91"/>
      <c r="J142" s="92"/>
      <c r="K142" s="91"/>
      <c r="L142" s="90">
        <f>IF(Simulador!$T$41=1,0,J142*Simulador!$W$39*1.16)</f>
        <v>0</v>
      </c>
      <c r="M142" s="90"/>
      <c r="N142" s="93">
        <f t="shared" si="65"/>
        <v>0</v>
      </c>
      <c r="O142" s="12"/>
      <c r="P142" s="544">
        <f t="shared" si="66"/>
        <v>0</v>
      </c>
      <c r="Q142" s="4"/>
      <c r="R142" s="90">
        <f t="shared" si="67"/>
        <v>0</v>
      </c>
      <c r="S142" s="90"/>
      <c r="T142" s="90">
        <f>_xlfn.IFERROR(IF(Simulador!$U$30=1,0,IF($B142&lt;=0,0,$B142*Simulador!$AA$43)),0)</f>
        <v>0</v>
      </c>
      <c r="U142" s="90"/>
      <c r="V142" s="90">
        <f>_xlfn.IFERROR(IF(Simulador!$U$30=1,0,IF($B142&lt;=0,0,IF(Simulador!$D$22&gt;0,Simulador!$D$22,Simulador!$O$24)*Simulador!$AA$44)),0)</f>
        <v>0</v>
      </c>
      <c r="W142" s="90"/>
      <c r="X142" s="90"/>
      <c r="Y142" s="90">
        <f t="shared" si="46"/>
        <v>0</v>
      </c>
      <c r="Z142" s="13"/>
      <c r="AA142" s="18"/>
      <c r="AB142" s="23"/>
      <c r="AC142" s="364"/>
      <c r="AD142" s="222">
        <v>10</v>
      </c>
      <c r="AE142" s="219">
        <v>8</v>
      </c>
      <c r="AF142" s="269">
        <f t="shared" si="47"/>
        <v>0</v>
      </c>
      <c r="AG142" s="209">
        <f t="shared" si="48"/>
        <v>0</v>
      </c>
      <c r="AH142" s="209">
        <f t="shared" si="49"/>
        <v>0</v>
      </c>
      <c r="AI142" s="219">
        <f t="shared" si="50"/>
        <v>0</v>
      </c>
      <c r="AJ142" s="425">
        <f t="shared" si="51"/>
        <v>0</v>
      </c>
      <c r="AK142" s="57">
        <f t="shared" si="52"/>
        <v>0</v>
      </c>
      <c r="AL142" s="90">
        <f t="shared" si="53"/>
        <v>0</v>
      </c>
      <c r="AM142" s="58">
        <f t="shared" si="54"/>
        <v>0</v>
      </c>
      <c r="AN142" s="57">
        <f t="shared" si="55"/>
        <v>0</v>
      </c>
      <c r="AO142" s="432">
        <f t="shared" si="56"/>
        <v>0</v>
      </c>
      <c r="AP142" s="90">
        <f>_xlfn.IFERROR(IF(Simulador!$U$30=1,0,IF($AK142&lt;=0.01,0,$AK142*Simulador!$AA$43)),0)+_xlfn.IFERROR(IF(Simulador!$U$30=1,0,IF($AK142&lt;=0.01,0,IF(Simulador!$D$22&gt;0,Simulador!$D$22,Simulador!$O$24)*Simulador!$AA$44)),0)</f>
        <v>0</v>
      </c>
      <c r="AQ142" s="90">
        <f t="shared" si="57"/>
        <v>0</v>
      </c>
      <c r="AR142" s="26">
        <f t="shared" si="58"/>
        <v>0</v>
      </c>
      <c r="AS142">
        <f t="shared" si="59"/>
        <v>0</v>
      </c>
      <c r="AT142" s="549">
        <f t="shared" si="60"/>
      </c>
      <c r="AU142" s="404">
        <f t="shared" si="61"/>
        <v>0</v>
      </c>
      <c r="AV142" s="52">
        <v>120</v>
      </c>
      <c r="AW142" s="27"/>
      <c r="AX142" s="424"/>
      <c r="AZ142" s="52"/>
    </row>
    <row r="143" spans="1:52" ht="12.75">
      <c r="A143" s="503">
        <f t="shared" si="62"/>
        <v>129</v>
      </c>
      <c r="B143" s="89">
        <f t="shared" si="45"/>
        <v>0</v>
      </c>
      <c r="C143" s="89"/>
      <c r="D143" s="90">
        <f>IF(B143+F143-D142&lt;=0,B143+F143,IF(AND(OR(Simulador!$U$39=2,Simulador!$U$39=7),J142=0),_xlfn.IFERROR((((P143/360*AU143)/(1-(1+(P143/360*AU143))^-AS143))*B143)*(1+AA143),0),IF($AF$3=2,B143*AJ143,_xlfn.IFERROR((((P143/360*AU143)/(1-(1+(P143/360*AU143))^-AS143))*B143)*(1+AA143),0))))</f>
        <v>0</v>
      </c>
      <c r="E143" s="90"/>
      <c r="F143" s="90">
        <f t="shared" si="63"/>
        <v>0</v>
      </c>
      <c r="G143" s="90"/>
      <c r="H143" s="90">
        <f t="shared" si="64"/>
        <v>0</v>
      </c>
      <c r="I143" s="91"/>
      <c r="J143" s="92"/>
      <c r="K143" s="91"/>
      <c r="L143" s="90">
        <f>IF(Simulador!$T$41=1,0,J143*Simulador!$W$39*1.16)</f>
        <v>0</v>
      </c>
      <c r="M143" s="90"/>
      <c r="N143" s="93"/>
      <c r="O143" s="12"/>
      <c r="P143" s="544">
        <f t="shared" si="66"/>
        <v>0</v>
      </c>
      <c r="Q143" s="4"/>
      <c r="R143" s="90">
        <f t="shared" si="67"/>
        <v>0</v>
      </c>
      <c r="S143" s="90"/>
      <c r="T143" s="90">
        <f>_xlfn.IFERROR(IF(Simulador!$U$30=1,0,IF($B143&lt;=0,0,$B143*Simulador!$AA$43)),0)</f>
        <v>0</v>
      </c>
      <c r="U143" s="90"/>
      <c r="V143" s="90">
        <f>_xlfn.IFERROR(IF(Simulador!$U$30=1,0,IF($B143&lt;=0,0,IF(Simulador!$D$22&gt;0,Simulador!$D$22,Simulador!$O$24)*Simulador!$AA$44)),0)</f>
        <v>0</v>
      </c>
      <c r="W143" s="90"/>
      <c r="X143" s="90"/>
      <c r="Y143" s="90">
        <f t="shared" si="46"/>
        <v>0</v>
      </c>
      <c r="Z143" s="13"/>
      <c r="AA143" s="18"/>
      <c r="AB143" s="23"/>
      <c r="AC143" s="364"/>
      <c r="AD143" s="222">
        <v>10</v>
      </c>
      <c r="AE143" s="221">
        <v>9</v>
      </c>
      <c r="AF143" s="269">
        <f t="shared" si="47"/>
        <v>0</v>
      </c>
      <c r="AG143" s="209">
        <f t="shared" si="48"/>
        <v>0</v>
      </c>
      <c r="AH143" s="209">
        <f t="shared" si="49"/>
        <v>0</v>
      </c>
      <c r="AI143" s="219">
        <f t="shared" si="50"/>
        <v>0</v>
      </c>
      <c r="AJ143" s="425">
        <f t="shared" si="51"/>
        <v>0</v>
      </c>
      <c r="AK143" s="57">
        <f t="shared" si="52"/>
        <v>0</v>
      </c>
      <c r="AL143" s="90">
        <f t="shared" si="53"/>
        <v>0</v>
      </c>
      <c r="AM143" s="58">
        <f t="shared" si="54"/>
        <v>0</v>
      </c>
      <c r="AN143" s="57">
        <f t="shared" si="55"/>
        <v>0</v>
      </c>
      <c r="AO143" s="432">
        <f t="shared" si="56"/>
        <v>0</v>
      </c>
      <c r="AP143" s="90">
        <f>_xlfn.IFERROR(IF(Simulador!$U$30=1,0,IF($AK143&lt;=0.01,0,$AK143*Simulador!$AA$43)),0)+_xlfn.IFERROR(IF(Simulador!$U$30=1,0,IF($AK143&lt;=0.01,0,IF(Simulador!$D$22&gt;0,Simulador!$D$22,Simulador!$O$24)*Simulador!$AA$44)),0)</f>
        <v>0</v>
      </c>
      <c r="AQ143" s="90">
        <f t="shared" si="57"/>
        <v>0</v>
      </c>
      <c r="AR143" s="26">
        <f t="shared" si="58"/>
        <v>0</v>
      </c>
      <c r="AS143">
        <f t="shared" si="59"/>
        <v>0</v>
      </c>
      <c r="AT143" s="549">
        <f t="shared" si="60"/>
      </c>
      <c r="AU143" s="404">
        <f t="shared" si="61"/>
        <v>0</v>
      </c>
      <c r="AV143" s="52">
        <v>120</v>
      </c>
      <c r="AW143" s="27"/>
      <c r="AX143" s="424"/>
      <c r="AZ143" s="52"/>
    </row>
    <row r="144" spans="1:52" ht="12.75">
      <c r="A144" s="503">
        <f t="shared" si="62"/>
        <v>130</v>
      </c>
      <c r="B144" s="89">
        <f t="shared" si="45"/>
        <v>0</v>
      </c>
      <c r="C144" s="89"/>
      <c r="D144" s="90">
        <f>IF(B144+F144-D143&lt;=0,B144+F144,IF(AND(OR(Simulador!$U$39=2,Simulador!$U$39=7),J143=0),_xlfn.IFERROR((((P144/360*AU144)/(1-(1+(P144/360*AU144))^-AS144))*B144)*(1+AA144),0),IF($AF$3=2,B144*AJ144,_xlfn.IFERROR((((P144/360*AU144)/(1-(1+(P144/360*AU144))^-AS144))*B144)*(1+AA144),0))))</f>
        <v>0</v>
      </c>
      <c r="E144" s="90"/>
      <c r="F144" s="90">
        <f t="shared" si="63"/>
        <v>0</v>
      </c>
      <c r="G144" s="90"/>
      <c r="H144" s="90">
        <f t="shared" si="64"/>
        <v>0</v>
      </c>
      <c r="I144" s="91"/>
      <c r="J144" s="92"/>
      <c r="K144" s="91"/>
      <c r="L144" s="90">
        <f>IF(Simulador!$T$41=1,0,J144*Simulador!$W$39*1.16)</f>
        <v>0</v>
      </c>
      <c r="M144" s="90"/>
      <c r="N144" s="93">
        <f t="shared" si="65"/>
        <v>0</v>
      </c>
      <c r="O144" s="12"/>
      <c r="P144" s="544">
        <f t="shared" si="66"/>
        <v>0</v>
      </c>
      <c r="Q144" s="4"/>
      <c r="R144" s="90">
        <f t="shared" si="67"/>
        <v>0</v>
      </c>
      <c r="S144" s="90"/>
      <c r="T144" s="90">
        <f>_xlfn.IFERROR(IF(Simulador!$U$30=1,0,IF($B144&lt;=0,0,$B144*Simulador!$AA$43)),0)</f>
        <v>0</v>
      </c>
      <c r="U144" s="90"/>
      <c r="V144" s="90">
        <f>_xlfn.IFERROR(IF(Simulador!$U$30=1,0,IF($B144&lt;=0,0,IF(Simulador!$D$22&gt;0,Simulador!$D$22,Simulador!$O$24)*Simulador!$AA$44)),0)</f>
        <v>0</v>
      </c>
      <c r="W144" s="90"/>
      <c r="X144" s="90"/>
      <c r="Y144" s="90">
        <f t="shared" si="46"/>
        <v>0</v>
      </c>
      <c r="Z144" s="13"/>
      <c r="AA144" s="18"/>
      <c r="AB144" s="23"/>
      <c r="AC144" s="364"/>
      <c r="AD144" s="222">
        <v>10</v>
      </c>
      <c r="AE144" s="221">
        <v>10</v>
      </c>
      <c r="AF144" s="269">
        <f t="shared" si="47"/>
        <v>0</v>
      </c>
      <c r="AG144" s="209">
        <f t="shared" si="48"/>
        <v>0</v>
      </c>
      <c r="AH144" s="209">
        <f t="shared" si="49"/>
        <v>0</v>
      </c>
      <c r="AI144" s="219">
        <f t="shared" si="50"/>
        <v>0</v>
      </c>
      <c r="AJ144" s="425">
        <f t="shared" si="51"/>
        <v>0</v>
      </c>
      <c r="AK144" s="57">
        <f t="shared" si="52"/>
        <v>0</v>
      </c>
      <c r="AL144" s="90">
        <f t="shared" si="53"/>
        <v>0</v>
      </c>
      <c r="AM144" s="58">
        <f t="shared" si="54"/>
        <v>0</v>
      </c>
      <c r="AN144" s="57">
        <f t="shared" si="55"/>
        <v>0</v>
      </c>
      <c r="AO144" s="432">
        <f t="shared" si="56"/>
        <v>0</v>
      </c>
      <c r="AP144" s="90">
        <f>_xlfn.IFERROR(IF(Simulador!$U$30=1,0,IF($AK144&lt;=0.01,0,$AK144*Simulador!$AA$43)),0)+_xlfn.IFERROR(IF(Simulador!$U$30=1,0,IF($AK144&lt;=0.01,0,IF(Simulador!$D$22&gt;0,Simulador!$D$22,Simulador!$O$24)*Simulador!$AA$44)),0)</f>
        <v>0</v>
      </c>
      <c r="AQ144" s="90">
        <f t="shared" si="57"/>
        <v>0</v>
      </c>
      <c r="AR144" s="26">
        <f t="shared" si="58"/>
        <v>0</v>
      </c>
      <c r="AS144">
        <f t="shared" si="59"/>
        <v>0</v>
      </c>
      <c r="AT144" s="549">
        <f t="shared" si="60"/>
      </c>
      <c r="AU144" s="404">
        <f t="shared" si="61"/>
        <v>0</v>
      </c>
      <c r="AV144" s="52">
        <v>120</v>
      </c>
      <c r="AW144" s="27"/>
      <c r="AX144" s="424"/>
      <c r="AZ144" s="52"/>
    </row>
    <row r="145" spans="1:52" ht="12.75">
      <c r="A145" s="503">
        <f t="shared" si="62"/>
        <v>131</v>
      </c>
      <c r="B145" s="89">
        <f t="shared" si="45"/>
        <v>0</v>
      </c>
      <c r="C145" s="89"/>
      <c r="D145" s="90">
        <f>IF(B145+F145-D144&lt;=0,B145+F145,IF(AND(OR(Simulador!$U$39=2,Simulador!$U$39=7),J144=0),_xlfn.IFERROR((((P145/360*AU145)/(1-(1+(P145/360*AU145))^-AS145))*B145)*(1+AA145),0),IF($AF$3=2,B145*AJ145,_xlfn.IFERROR((((P145/360*AU145)/(1-(1+(P145/360*AU145))^-AS145))*B145)*(1+AA145),0))))</f>
        <v>0</v>
      </c>
      <c r="E145" s="90"/>
      <c r="F145" s="90">
        <f t="shared" si="63"/>
        <v>0</v>
      </c>
      <c r="G145" s="90"/>
      <c r="H145" s="90">
        <f t="shared" si="64"/>
        <v>0</v>
      </c>
      <c r="I145" s="91"/>
      <c r="J145" s="92"/>
      <c r="K145" s="91"/>
      <c r="L145" s="90">
        <f>IF(Simulador!$T$41=1,0,J145*Simulador!$W$39*1.16)</f>
        <v>0</v>
      </c>
      <c r="M145" s="90"/>
      <c r="N145" s="93"/>
      <c r="O145" s="12"/>
      <c r="P145" s="544">
        <f t="shared" si="66"/>
        <v>0</v>
      </c>
      <c r="Q145" s="4"/>
      <c r="R145" s="90">
        <f t="shared" si="67"/>
        <v>0</v>
      </c>
      <c r="S145" s="90"/>
      <c r="T145" s="90">
        <f>_xlfn.IFERROR(IF(Simulador!$U$30=1,0,IF($B145&lt;=0,0,$B145*Simulador!$AA$43)),0)</f>
        <v>0</v>
      </c>
      <c r="U145" s="90"/>
      <c r="V145" s="90">
        <f>_xlfn.IFERROR(IF(Simulador!$U$30=1,0,IF($B145&lt;=0,0,IF(Simulador!$D$22&gt;0,Simulador!$D$22,Simulador!$O$24)*Simulador!$AA$44)),0)</f>
        <v>0</v>
      </c>
      <c r="W145" s="90"/>
      <c r="X145" s="90"/>
      <c r="Y145" s="90">
        <f t="shared" si="46"/>
        <v>0</v>
      </c>
      <c r="Z145" s="13"/>
      <c r="AA145" s="18"/>
      <c r="AB145" s="23"/>
      <c r="AC145" s="364"/>
      <c r="AD145" s="222">
        <v>10</v>
      </c>
      <c r="AE145" s="219">
        <v>11</v>
      </c>
      <c r="AF145" s="269">
        <f t="shared" si="47"/>
        <v>0</v>
      </c>
      <c r="AG145" s="209">
        <f t="shared" si="48"/>
        <v>0</v>
      </c>
      <c r="AH145" s="209">
        <f t="shared" si="49"/>
        <v>0</v>
      </c>
      <c r="AI145" s="219">
        <f t="shared" si="50"/>
        <v>0</v>
      </c>
      <c r="AJ145" s="425">
        <f t="shared" si="51"/>
        <v>0</v>
      </c>
      <c r="AK145" s="57">
        <f t="shared" si="52"/>
        <v>0</v>
      </c>
      <c r="AL145" s="90">
        <f t="shared" si="53"/>
        <v>0</v>
      </c>
      <c r="AM145" s="58">
        <f t="shared" si="54"/>
        <v>0</v>
      </c>
      <c r="AN145" s="57">
        <f t="shared" si="55"/>
        <v>0</v>
      </c>
      <c r="AO145" s="432">
        <f t="shared" si="56"/>
        <v>0</v>
      </c>
      <c r="AP145" s="90">
        <f>_xlfn.IFERROR(IF(Simulador!$U$30=1,0,IF($AK145&lt;=0.01,0,$AK145*Simulador!$AA$43)),0)+_xlfn.IFERROR(IF(Simulador!$U$30=1,0,IF($AK145&lt;=0.01,0,IF(Simulador!$D$22&gt;0,Simulador!$D$22,Simulador!$O$24)*Simulador!$AA$44)),0)</f>
        <v>0</v>
      </c>
      <c r="AQ145" s="90">
        <f t="shared" si="57"/>
        <v>0</v>
      </c>
      <c r="AR145" s="26">
        <f t="shared" si="58"/>
        <v>0</v>
      </c>
      <c r="AS145">
        <f t="shared" si="59"/>
        <v>0</v>
      </c>
      <c r="AT145" s="549">
        <f t="shared" si="60"/>
      </c>
      <c r="AU145" s="404">
        <f t="shared" si="61"/>
        <v>0</v>
      </c>
      <c r="AV145" s="52">
        <v>120</v>
      </c>
      <c r="AW145" s="27"/>
      <c r="AX145" s="424"/>
      <c r="AZ145" s="52"/>
    </row>
    <row r="146" spans="1:52" ht="12.75">
      <c r="A146" s="503">
        <f t="shared" si="62"/>
        <v>132</v>
      </c>
      <c r="B146" s="89">
        <f t="shared" si="45"/>
        <v>0</v>
      </c>
      <c r="C146" s="89"/>
      <c r="D146" s="90">
        <f>IF(B146+F146-D145&lt;=0,B146+F146,IF(AND(OR(Simulador!$U$39=2,Simulador!$U$39=7),J145=0),_xlfn.IFERROR((((P146/360*AU146)/(1-(1+(P146/360*AU146))^-AS146))*B146)*(1+AA146),0),IF($AF$3=2,B146*AJ146,_xlfn.IFERROR((((P146/360*AU146)/(1-(1+(P146/360*AU146))^-AS146))*B146)*(1+AA146),0))))</f>
        <v>0</v>
      </c>
      <c r="E146" s="90"/>
      <c r="F146" s="90">
        <f t="shared" si="63"/>
        <v>0</v>
      </c>
      <c r="G146" s="90"/>
      <c r="H146" s="90">
        <f t="shared" si="64"/>
        <v>0</v>
      </c>
      <c r="I146" s="91"/>
      <c r="J146" s="92"/>
      <c r="K146" s="91"/>
      <c r="L146" s="90">
        <f>IF(Simulador!$T$41=1,0,J146*Simulador!$W$39*1.16)</f>
        <v>0</v>
      </c>
      <c r="M146" s="90"/>
      <c r="N146" s="93">
        <f t="shared" si="65"/>
        <v>0</v>
      </c>
      <c r="O146" s="12"/>
      <c r="P146" s="544">
        <f t="shared" si="66"/>
        <v>0</v>
      </c>
      <c r="Q146" s="4"/>
      <c r="R146" s="90">
        <f t="shared" si="67"/>
        <v>0</v>
      </c>
      <c r="S146" s="90"/>
      <c r="T146" s="90">
        <f>_xlfn.IFERROR(IF(Simulador!$U$30=1,0,IF($B146&lt;=0,0,$B146*Simulador!$AA$43)),0)</f>
        <v>0</v>
      </c>
      <c r="U146" s="90"/>
      <c r="V146" s="90">
        <f>_xlfn.IFERROR(IF(Simulador!$U$30=1,0,IF($B146&lt;=0,0,IF(Simulador!$D$22&gt;0,Simulador!$D$22,Simulador!$O$24)*Simulador!$AA$44)),0)</f>
        <v>0</v>
      </c>
      <c r="W146" s="90"/>
      <c r="X146" s="90"/>
      <c r="Y146" s="90">
        <f t="shared" si="46"/>
        <v>0</v>
      </c>
      <c r="Z146" s="13"/>
      <c r="AA146" s="18"/>
      <c r="AB146" s="23"/>
      <c r="AC146" s="364"/>
      <c r="AD146" s="222">
        <v>11</v>
      </c>
      <c r="AE146" s="219">
        <v>0</v>
      </c>
      <c r="AF146" s="269">
        <f t="shared" si="47"/>
        <v>0</v>
      </c>
      <c r="AG146" s="209">
        <f t="shared" si="48"/>
        <v>0</v>
      </c>
      <c r="AH146" s="209">
        <f t="shared" si="49"/>
        <v>0</v>
      </c>
      <c r="AI146" s="219">
        <f t="shared" si="50"/>
        <v>0</v>
      </c>
      <c r="AJ146" s="425">
        <f t="shared" si="51"/>
        <v>0</v>
      </c>
      <c r="AK146" s="57">
        <f t="shared" si="52"/>
        <v>0</v>
      </c>
      <c r="AL146" s="90">
        <f t="shared" si="53"/>
        <v>0</v>
      </c>
      <c r="AM146" s="58">
        <f t="shared" si="54"/>
        <v>0</v>
      </c>
      <c r="AN146" s="57">
        <f t="shared" si="55"/>
        <v>0</v>
      </c>
      <c r="AO146" s="432">
        <f t="shared" si="56"/>
        <v>0</v>
      </c>
      <c r="AP146" s="90">
        <f>_xlfn.IFERROR(IF(Simulador!$U$30=1,0,IF($AK146&lt;=0.01,0,$AK146*Simulador!$AA$43)),0)+_xlfn.IFERROR(IF(Simulador!$U$30=1,0,IF($AK146&lt;=0.01,0,IF(Simulador!$D$22&gt;0,Simulador!$D$22,Simulador!$O$24)*Simulador!$AA$44)),0)</f>
        <v>0</v>
      </c>
      <c r="AQ146" s="90">
        <f t="shared" si="57"/>
        <v>0</v>
      </c>
      <c r="AR146" s="26">
        <f t="shared" si="58"/>
        <v>0</v>
      </c>
      <c r="AS146">
        <f t="shared" si="59"/>
        <v>0</v>
      </c>
      <c r="AT146" s="549">
        <f t="shared" si="60"/>
      </c>
      <c r="AU146" s="404">
        <f t="shared" si="61"/>
        <v>0</v>
      </c>
      <c r="AV146" s="52">
        <v>120</v>
      </c>
      <c r="AW146" s="27"/>
      <c r="AX146" s="424"/>
      <c r="AZ146" s="52"/>
    </row>
    <row r="147" spans="1:52" ht="12.75">
      <c r="A147" s="503">
        <f t="shared" si="62"/>
        <v>133</v>
      </c>
      <c r="B147" s="89">
        <f t="shared" si="45"/>
        <v>0</v>
      </c>
      <c r="C147" s="89"/>
      <c r="D147" s="90">
        <f>IF(B147+F147-D146&lt;=0,B147+F147,IF(AND(OR(Simulador!$U$39=2,Simulador!$U$39=7),J146=0),_xlfn.IFERROR((((P147/360*AU147)/(1-(1+(P147/360*AU147))^-AS147))*B147)*(1+AA147),0),IF($AF$3=2,B147*AJ147,_xlfn.IFERROR((((P147/360*AU147)/(1-(1+(P147/360*AU147))^-AS147))*B147)*(1+AA147),0))))</f>
        <v>0</v>
      </c>
      <c r="E147" s="90"/>
      <c r="F147" s="90">
        <f t="shared" si="63"/>
        <v>0</v>
      </c>
      <c r="G147" s="90"/>
      <c r="H147" s="90">
        <f t="shared" si="64"/>
        <v>0</v>
      </c>
      <c r="I147" s="91"/>
      <c r="J147" s="92"/>
      <c r="K147" s="91"/>
      <c r="L147" s="90">
        <f>IF(Simulador!$T$41=1,0,J147*Simulador!$W$39*1.16)</f>
        <v>0</v>
      </c>
      <c r="M147" s="90"/>
      <c r="N147" s="93"/>
      <c r="O147" s="12"/>
      <c r="P147" s="544">
        <f t="shared" si="66"/>
        <v>0</v>
      </c>
      <c r="Q147" s="4"/>
      <c r="R147" s="90">
        <f t="shared" si="67"/>
        <v>0</v>
      </c>
      <c r="S147" s="90"/>
      <c r="T147" s="90">
        <f>_xlfn.IFERROR(IF(Simulador!$U$30=1,0,IF($B147&lt;=0,0,$B147*Simulador!$AA$43)),0)</f>
        <v>0</v>
      </c>
      <c r="U147" s="90"/>
      <c r="V147" s="90">
        <f>_xlfn.IFERROR(IF(Simulador!$U$30=1,0,IF($B147&lt;=0,0,IF(Simulador!$D$22&gt;0,Simulador!$D$22,Simulador!$O$24)*Simulador!$AA$44)),0)</f>
        <v>0</v>
      </c>
      <c r="W147" s="90"/>
      <c r="X147" s="90"/>
      <c r="Y147" s="90">
        <f t="shared" si="46"/>
        <v>0</v>
      </c>
      <c r="Z147" s="13"/>
      <c r="AA147" s="18"/>
      <c r="AB147" s="23"/>
      <c r="AC147" s="364"/>
      <c r="AD147" s="222">
        <v>11</v>
      </c>
      <c r="AE147" s="219">
        <v>1</v>
      </c>
      <c r="AF147" s="269">
        <f t="shared" si="47"/>
        <v>0</v>
      </c>
      <c r="AG147" s="209">
        <f t="shared" si="48"/>
        <v>0</v>
      </c>
      <c r="AH147" s="209">
        <f t="shared" si="49"/>
        <v>0</v>
      </c>
      <c r="AI147" s="219">
        <f t="shared" si="50"/>
        <v>0</v>
      </c>
      <c r="AJ147" s="425">
        <f t="shared" si="51"/>
        <v>0</v>
      </c>
      <c r="AK147" s="57">
        <f t="shared" si="52"/>
        <v>0</v>
      </c>
      <c r="AL147" s="90">
        <f t="shared" si="53"/>
        <v>0</v>
      </c>
      <c r="AM147" s="58">
        <f t="shared" si="54"/>
        <v>0</v>
      </c>
      <c r="AN147" s="57">
        <f t="shared" si="55"/>
        <v>0</v>
      </c>
      <c r="AO147" s="432">
        <f t="shared" si="56"/>
        <v>0</v>
      </c>
      <c r="AP147" s="90">
        <f>_xlfn.IFERROR(IF(Simulador!$U$30=1,0,IF($AK147&lt;=0.01,0,$AK147*Simulador!$AA$43)),0)+_xlfn.IFERROR(IF(Simulador!$U$30=1,0,IF($AK147&lt;=0.01,0,IF(Simulador!$D$22&gt;0,Simulador!$D$22,Simulador!$O$24)*Simulador!$AA$44)),0)</f>
        <v>0</v>
      </c>
      <c r="AQ147" s="90">
        <f t="shared" si="57"/>
        <v>0</v>
      </c>
      <c r="AR147" s="26">
        <f t="shared" si="58"/>
        <v>0</v>
      </c>
      <c r="AS147">
        <f t="shared" si="59"/>
        <v>0</v>
      </c>
      <c r="AT147" s="549">
        <f t="shared" si="60"/>
      </c>
      <c r="AU147" s="404">
        <f t="shared" si="61"/>
        <v>0</v>
      </c>
      <c r="AV147" s="52">
        <v>120</v>
      </c>
      <c r="AW147" s="27"/>
      <c r="AX147" s="424"/>
      <c r="AZ147" s="52"/>
    </row>
    <row r="148" spans="1:52" ht="12.75">
      <c r="A148" s="503">
        <f t="shared" si="62"/>
        <v>134</v>
      </c>
      <c r="B148" s="89">
        <f t="shared" si="45"/>
        <v>0</v>
      </c>
      <c r="C148" s="89"/>
      <c r="D148" s="90">
        <f>IF(B148+F148-D147&lt;=0,B148+F148,IF(AND(OR(Simulador!$U$39=2,Simulador!$U$39=7),J147=0),_xlfn.IFERROR((((P148/360*AU148)/(1-(1+(P148/360*AU148))^-AS148))*B148)*(1+AA148),0),IF($AF$3=2,B148*AJ148,_xlfn.IFERROR((((P148/360*AU148)/(1-(1+(P148/360*AU148))^-AS148))*B148)*(1+AA148),0))))</f>
        <v>0</v>
      </c>
      <c r="E148" s="90"/>
      <c r="F148" s="90">
        <f t="shared" si="63"/>
        <v>0</v>
      </c>
      <c r="G148" s="90"/>
      <c r="H148" s="90">
        <f t="shared" si="64"/>
        <v>0</v>
      </c>
      <c r="I148" s="91"/>
      <c r="J148" s="92"/>
      <c r="K148" s="91"/>
      <c r="L148" s="90">
        <f>IF(Simulador!$T$41=1,0,J148*Simulador!$W$39*1.16)</f>
        <v>0</v>
      </c>
      <c r="M148" s="90"/>
      <c r="N148" s="93">
        <f t="shared" si="65"/>
        <v>0</v>
      </c>
      <c r="O148" s="12"/>
      <c r="P148" s="544">
        <f t="shared" si="66"/>
        <v>0</v>
      </c>
      <c r="Q148" s="4"/>
      <c r="R148" s="90">
        <f t="shared" si="67"/>
        <v>0</v>
      </c>
      <c r="S148" s="90"/>
      <c r="T148" s="90">
        <f>_xlfn.IFERROR(IF(Simulador!$U$30=1,0,IF($B148&lt;=0,0,$B148*Simulador!$AA$43)),0)</f>
        <v>0</v>
      </c>
      <c r="U148" s="90"/>
      <c r="V148" s="90">
        <f>_xlfn.IFERROR(IF(Simulador!$U$30=1,0,IF($B148&lt;=0,0,IF(Simulador!$D$22&gt;0,Simulador!$D$22,Simulador!$O$24)*Simulador!$AA$44)),0)</f>
        <v>0</v>
      </c>
      <c r="W148" s="90"/>
      <c r="X148" s="90"/>
      <c r="Y148" s="90">
        <f t="shared" si="46"/>
        <v>0</v>
      </c>
      <c r="Z148" s="13"/>
      <c r="AA148" s="18"/>
      <c r="AB148" s="23"/>
      <c r="AC148" s="364"/>
      <c r="AD148" s="222">
        <v>11</v>
      </c>
      <c r="AE148" s="220">
        <v>2</v>
      </c>
      <c r="AF148" s="269">
        <f t="shared" si="47"/>
        <v>0</v>
      </c>
      <c r="AG148" s="209">
        <f t="shared" si="48"/>
        <v>0</v>
      </c>
      <c r="AH148" s="209">
        <f t="shared" si="49"/>
        <v>0</v>
      </c>
      <c r="AI148" s="219">
        <f t="shared" si="50"/>
        <v>0</v>
      </c>
      <c r="AJ148" s="425">
        <f t="shared" si="51"/>
        <v>0</v>
      </c>
      <c r="AK148" s="57">
        <f t="shared" si="52"/>
        <v>0</v>
      </c>
      <c r="AL148" s="90">
        <f t="shared" si="53"/>
        <v>0</v>
      </c>
      <c r="AM148" s="58">
        <f t="shared" si="54"/>
        <v>0</v>
      </c>
      <c r="AN148" s="57">
        <f t="shared" si="55"/>
        <v>0</v>
      </c>
      <c r="AO148" s="432">
        <f t="shared" si="56"/>
        <v>0</v>
      </c>
      <c r="AP148" s="90">
        <f>_xlfn.IFERROR(IF(Simulador!$U$30=1,0,IF($AK148&lt;=0.01,0,$AK148*Simulador!$AA$43)),0)+_xlfn.IFERROR(IF(Simulador!$U$30=1,0,IF($AK148&lt;=0.01,0,IF(Simulador!$D$22&gt;0,Simulador!$D$22,Simulador!$O$24)*Simulador!$AA$44)),0)</f>
        <v>0</v>
      </c>
      <c r="AQ148" s="90">
        <f t="shared" si="57"/>
        <v>0</v>
      </c>
      <c r="AR148" s="26">
        <f t="shared" si="58"/>
        <v>0</v>
      </c>
      <c r="AS148">
        <f t="shared" si="59"/>
        <v>0</v>
      </c>
      <c r="AT148" s="549">
        <f t="shared" si="60"/>
      </c>
      <c r="AU148" s="404">
        <f t="shared" si="61"/>
        <v>0</v>
      </c>
      <c r="AV148" s="52">
        <v>120</v>
      </c>
      <c r="AW148" s="27"/>
      <c r="AX148" s="424"/>
      <c r="AZ148" s="52"/>
    </row>
    <row r="149" spans="1:52" ht="12.75">
      <c r="A149" s="503">
        <f t="shared" si="62"/>
        <v>135</v>
      </c>
      <c r="B149" s="89">
        <f t="shared" si="45"/>
        <v>0</v>
      </c>
      <c r="C149" s="89"/>
      <c r="D149" s="90">
        <f>IF(B149+F149-D148&lt;=0,B149+F149,IF(AND(OR(Simulador!$U$39=2,Simulador!$U$39=7),J148=0),_xlfn.IFERROR((((P149/360*AU149)/(1-(1+(P149/360*AU149))^-AS149))*B149)*(1+AA149),0),IF($AF$3=2,B149*AJ149,_xlfn.IFERROR((((P149/360*AU149)/(1-(1+(P149/360*AU149))^-AS149))*B149)*(1+AA149),0))))</f>
        <v>0</v>
      </c>
      <c r="E149" s="90"/>
      <c r="F149" s="90">
        <f t="shared" si="63"/>
        <v>0</v>
      </c>
      <c r="G149" s="90"/>
      <c r="H149" s="90">
        <f t="shared" si="64"/>
        <v>0</v>
      </c>
      <c r="I149" s="91"/>
      <c r="J149" s="92"/>
      <c r="K149" s="91"/>
      <c r="L149" s="90">
        <f>IF(Simulador!$T$41=1,0,J149*Simulador!$W$39*1.16)</f>
        <v>0</v>
      </c>
      <c r="M149" s="90"/>
      <c r="N149" s="93"/>
      <c r="O149" s="12"/>
      <c r="P149" s="544">
        <f t="shared" si="66"/>
        <v>0</v>
      </c>
      <c r="Q149" s="4"/>
      <c r="R149" s="90">
        <f t="shared" si="67"/>
        <v>0</v>
      </c>
      <c r="S149" s="90"/>
      <c r="T149" s="90">
        <f>_xlfn.IFERROR(IF(Simulador!$U$30=1,0,IF($B149&lt;=0,0,$B149*Simulador!$AA$43)),0)</f>
        <v>0</v>
      </c>
      <c r="U149" s="90"/>
      <c r="V149" s="90">
        <f>_xlfn.IFERROR(IF(Simulador!$U$30=1,0,IF($B149&lt;=0,0,IF(Simulador!$D$22&gt;0,Simulador!$D$22,Simulador!$O$24)*Simulador!$AA$44)),0)</f>
        <v>0</v>
      </c>
      <c r="W149" s="90"/>
      <c r="X149" s="90"/>
      <c r="Y149" s="90">
        <f t="shared" si="46"/>
        <v>0</v>
      </c>
      <c r="Z149" s="13"/>
      <c r="AA149" s="18"/>
      <c r="AB149" s="23"/>
      <c r="AC149" s="364"/>
      <c r="AD149" s="222">
        <v>11</v>
      </c>
      <c r="AE149" s="220">
        <v>3</v>
      </c>
      <c r="AF149" s="269">
        <f t="shared" si="47"/>
        <v>0</v>
      </c>
      <c r="AG149" s="209">
        <f t="shared" si="48"/>
        <v>0</v>
      </c>
      <c r="AH149" s="209">
        <f t="shared" si="49"/>
        <v>0</v>
      </c>
      <c r="AI149" s="219">
        <f t="shared" si="50"/>
        <v>0</v>
      </c>
      <c r="AJ149" s="425">
        <f t="shared" si="51"/>
        <v>0</v>
      </c>
      <c r="AK149" s="57">
        <f t="shared" si="52"/>
        <v>0</v>
      </c>
      <c r="AL149" s="90">
        <f t="shared" si="53"/>
        <v>0</v>
      </c>
      <c r="AM149" s="58">
        <f t="shared" si="54"/>
        <v>0</v>
      </c>
      <c r="AN149" s="57">
        <f t="shared" si="55"/>
        <v>0</v>
      </c>
      <c r="AO149" s="432">
        <f t="shared" si="56"/>
        <v>0</v>
      </c>
      <c r="AP149" s="90">
        <f>_xlfn.IFERROR(IF(Simulador!$U$30=1,0,IF($AK149&lt;=0.01,0,$AK149*Simulador!$AA$43)),0)+_xlfn.IFERROR(IF(Simulador!$U$30=1,0,IF($AK149&lt;=0.01,0,IF(Simulador!$D$22&gt;0,Simulador!$D$22,Simulador!$O$24)*Simulador!$AA$44)),0)</f>
        <v>0</v>
      </c>
      <c r="AQ149" s="90">
        <f t="shared" si="57"/>
        <v>0</v>
      </c>
      <c r="AR149" s="26">
        <f t="shared" si="58"/>
        <v>0</v>
      </c>
      <c r="AS149">
        <f t="shared" si="59"/>
        <v>0</v>
      </c>
      <c r="AT149" s="549">
        <f t="shared" si="60"/>
      </c>
      <c r="AU149" s="404">
        <f t="shared" si="61"/>
        <v>0</v>
      </c>
      <c r="AV149" s="52">
        <v>120</v>
      </c>
      <c r="AW149" s="27"/>
      <c r="AX149" s="424"/>
      <c r="AZ149" s="52"/>
    </row>
    <row r="150" spans="1:52" ht="12.75">
      <c r="A150" s="503">
        <f t="shared" si="62"/>
        <v>136</v>
      </c>
      <c r="B150" s="89">
        <f t="shared" si="45"/>
        <v>0</v>
      </c>
      <c r="C150" s="89"/>
      <c r="D150" s="90">
        <f>IF(B150+F150-D149&lt;=0,B150+F150,IF(AND(OR(Simulador!$U$39=2,Simulador!$U$39=7),J149=0),_xlfn.IFERROR((((P150/360*AU150)/(1-(1+(P150/360*AU150))^-AS150))*B150)*(1+AA150),0),IF($AF$3=2,B150*AJ150,_xlfn.IFERROR((((P150/360*AU150)/(1-(1+(P150/360*AU150))^-AS150))*B150)*(1+AA150),0))))</f>
        <v>0</v>
      </c>
      <c r="E150" s="90"/>
      <c r="F150" s="90">
        <f t="shared" si="63"/>
        <v>0</v>
      </c>
      <c r="G150" s="90"/>
      <c r="H150" s="90">
        <f t="shared" si="64"/>
        <v>0</v>
      </c>
      <c r="I150" s="91"/>
      <c r="J150" s="92"/>
      <c r="K150" s="91"/>
      <c r="L150" s="90">
        <f>IF(Simulador!$T$41=1,0,J150*Simulador!$W$39*1.16)</f>
        <v>0</v>
      </c>
      <c r="M150" s="90"/>
      <c r="N150" s="93">
        <f t="shared" si="65"/>
        <v>0</v>
      </c>
      <c r="O150" s="12"/>
      <c r="P150" s="544">
        <f t="shared" si="66"/>
        <v>0</v>
      </c>
      <c r="Q150" s="4"/>
      <c r="R150" s="90">
        <f t="shared" si="67"/>
        <v>0</v>
      </c>
      <c r="S150" s="90"/>
      <c r="T150" s="90">
        <f>_xlfn.IFERROR(IF(Simulador!$U$30=1,0,IF($B150&lt;=0,0,$B150*Simulador!$AA$43)),0)</f>
        <v>0</v>
      </c>
      <c r="U150" s="90"/>
      <c r="V150" s="90">
        <f>_xlfn.IFERROR(IF(Simulador!$U$30=1,0,IF($B150&lt;=0,0,IF(Simulador!$D$22&gt;0,Simulador!$D$22,Simulador!$O$24)*Simulador!$AA$44)),0)</f>
        <v>0</v>
      </c>
      <c r="W150" s="90"/>
      <c r="X150" s="90"/>
      <c r="Y150" s="90">
        <f t="shared" si="46"/>
        <v>0</v>
      </c>
      <c r="Z150" s="13"/>
      <c r="AA150" s="18"/>
      <c r="AB150" s="23"/>
      <c r="AC150" s="364"/>
      <c r="AD150" s="222">
        <v>11</v>
      </c>
      <c r="AE150" s="219">
        <v>4</v>
      </c>
      <c r="AF150" s="269">
        <f t="shared" si="47"/>
        <v>0</v>
      </c>
      <c r="AG150" s="209">
        <f t="shared" si="48"/>
        <v>0</v>
      </c>
      <c r="AH150" s="209">
        <f t="shared" si="49"/>
        <v>0</v>
      </c>
      <c r="AI150" s="219">
        <f t="shared" si="50"/>
        <v>0</v>
      </c>
      <c r="AJ150" s="425">
        <f t="shared" si="51"/>
        <v>0</v>
      </c>
      <c r="AK150" s="57">
        <f t="shared" si="52"/>
        <v>0</v>
      </c>
      <c r="AL150" s="90">
        <f t="shared" si="53"/>
        <v>0</v>
      </c>
      <c r="AM150" s="58">
        <f t="shared" si="54"/>
        <v>0</v>
      </c>
      <c r="AN150" s="57">
        <f t="shared" si="55"/>
        <v>0</v>
      </c>
      <c r="AO150" s="432">
        <f t="shared" si="56"/>
        <v>0</v>
      </c>
      <c r="AP150" s="90">
        <f>_xlfn.IFERROR(IF(Simulador!$U$30=1,0,IF($AK150&lt;=0.01,0,$AK150*Simulador!$AA$43)),0)+_xlfn.IFERROR(IF(Simulador!$U$30=1,0,IF($AK150&lt;=0.01,0,IF(Simulador!$D$22&gt;0,Simulador!$D$22,Simulador!$O$24)*Simulador!$AA$44)),0)</f>
        <v>0</v>
      </c>
      <c r="AQ150" s="90">
        <f t="shared" si="57"/>
        <v>0</v>
      </c>
      <c r="AR150" s="26">
        <f t="shared" si="58"/>
        <v>0</v>
      </c>
      <c r="AS150">
        <f t="shared" si="59"/>
        <v>0</v>
      </c>
      <c r="AT150" s="549">
        <f t="shared" si="60"/>
      </c>
      <c r="AU150" s="404">
        <f t="shared" si="61"/>
        <v>0</v>
      </c>
      <c r="AV150" s="52">
        <v>120</v>
      </c>
      <c r="AW150" s="27"/>
      <c r="AX150" s="424"/>
      <c r="AZ150" s="52"/>
    </row>
    <row r="151" spans="1:52" ht="12.75">
      <c r="A151" s="503">
        <f t="shared" si="62"/>
        <v>137</v>
      </c>
      <c r="B151" s="89">
        <f t="shared" si="45"/>
        <v>0</v>
      </c>
      <c r="C151" s="89"/>
      <c r="D151" s="90">
        <f>IF(B151+F151-D150&lt;=0,B151+F151,IF(AND(OR(Simulador!$U$39=2,Simulador!$U$39=7),J150=0),_xlfn.IFERROR((((P151/360*AU151)/(1-(1+(P151/360*AU151))^-AS151))*B151)*(1+AA151),0),IF($AF$3=2,B151*AJ151,_xlfn.IFERROR((((P151/360*AU151)/(1-(1+(P151/360*AU151))^-AS151))*B151)*(1+AA151),0))))</f>
        <v>0</v>
      </c>
      <c r="E151" s="90"/>
      <c r="F151" s="90">
        <f t="shared" si="63"/>
        <v>0</v>
      </c>
      <c r="G151" s="90"/>
      <c r="H151" s="90">
        <f t="shared" si="64"/>
        <v>0</v>
      </c>
      <c r="I151" s="91"/>
      <c r="J151" s="92"/>
      <c r="K151" s="91"/>
      <c r="L151" s="90">
        <f>IF(Simulador!$T$41=1,0,J151*Simulador!$W$39*1.16)</f>
        <v>0</v>
      </c>
      <c r="M151" s="90"/>
      <c r="N151" s="93"/>
      <c r="O151" s="12"/>
      <c r="P151" s="544">
        <f t="shared" si="66"/>
        <v>0</v>
      </c>
      <c r="Q151" s="4"/>
      <c r="R151" s="90">
        <f t="shared" si="67"/>
        <v>0</v>
      </c>
      <c r="S151" s="90"/>
      <c r="T151" s="90">
        <f>_xlfn.IFERROR(IF(Simulador!$U$30=1,0,IF($B151&lt;=0,0,$B151*Simulador!$AA$43)),0)</f>
        <v>0</v>
      </c>
      <c r="U151" s="90"/>
      <c r="V151" s="90">
        <f>_xlfn.IFERROR(IF(Simulador!$U$30=1,0,IF($B151&lt;=0,0,IF(Simulador!$D$22&gt;0,Simulador!$D$22,Simulador!$O$24)*Simulador!$AA$44)),0)</f>
        <v>0</v>
      </c>
      <c r="W151" s="90"/>
      <c r="X151" s="90"/>
      <c r="Y151" s="90">
        <f t="shared" si="46"/>
        <v>0</v>
      </c>
      <c r="Z151" s="13"/>
      <c r="AA151" s="18"/>
      <c r="AB151" s="23"/>
      <c r="AC151" s="364"/>
      <c r="AD151" s="222">
        <v>11</v>
      </c>
      <c r="AE151" s="219">
        <v>5</v>
      </c>
      <c r="AF151" s="269">
        <f t="shared" si="47"/>
        <v>0</v>
      </c>
      <c r="AG151" s="209">
        <f t="shared" si="48"/>
        <v>0</v>
      </c>
      <c r="AH151" s="209">
        <f t="shared" si="49"/>
        <v>0</v>
      </c>
      <c r="AI151" s="219">
        <f t="shared" si="50"/>
        <v>0</v>
      </c>
      <c r="AJ151" s="425">
        <f t="shared" si="51"/>
        <v>0</v>
      </c>
      <c r="AK151" s="57">
        <f t="shared" si="52"/>
        <v>0</v>
      </c>
      <c r="AL151" s="90">
        <f t="shared" si="53"/>
        <v>0</v>
      </c>
      <c r="AM151" s="58">
        <f t="shared" si="54"/>
        <v>0</v>
      </c>
      <c r="AN151" s="57">
        <f t="shared" si="55"/>
        <v>0</v>
      </c>
      <c r="AO151" s="432">
        <f t="shared" si="56"/>
        <v>0</v>
      </c>
      <c r="AP151" s="90">
        <f>_xlfn.IFERROR(IF(Simulador!$U$30=1,0,IF($AK151&lt;=0.01,0,$AK151*Simulador!$AA$43)),0)+_xlfn.IFERROR(IF(Simulador!$U$30=1,0,IF($AK151&lt;=0.01,0,IF(Simulador!$D$22&gt;0,Simulador!$D$22,Simulador!$O$24)*Simulador!$AA$44)),0)</f>
        <v>0</v>
      </c>
      <c r="AQ151" s="90">
        <f t="shared" si="57"/>
        <v>0</v>
      </c>
      <c r="AR151" s="26">
        <f t="shared" si="58"/>
        <v>0</v>
      </c>
      <c r="AS151">
        <f t="shared" si="59"/>
        <v>0</v>
      </c>
      <c r="AT151" s="549">
        <f t="shared" si="60"/>
      </c>
      <c r="AU151" s="404">
        <f t="shared" si="61"/>
        <v>0</v>
      </c>
      <c r="AV151" s="52">
        <v>120</v>
      </c>
      <c r="AW151" s="27"/>
      <c r="AX151" s="424"/>
      <c r="AZ151" s="52"/>
    </row>
    <row r="152" spans="1:52" ht="12.75">
      <c r="A152" s="503">
        <f t="shared" si="62"/>
        <v>138</v>
      </c>
      <c r="B152" s="89">
        <f t="shared" si="45"/>
        <v>0</v>
      </c>
      <c r="C152" s="89"/>
      <c r="D152" s="90">
        <f>IF(B152+F152-D151&lt;=0,B152+F152,IF(AND(OR(Simulador!$U$39=2,Simulador!$U$39=7),J151=0),_xlfn.IFERROR((((P152/360*AU152)/(1-(1+(P152/360*AU152))^-AS152))*B152)*(1+AA152),0),IF($AF$3=2,B152*AJ152,_xlfn.IFERROR((((P152/360*AU152)/(1-(1+(P152/360*AU152))^-AS152))*B152)*(1+AA152),0))))</f>
        <v>0</v>
      </c>
      <c r="E152" s="90"/>
      <c r="F152" s="90">
        <f t="shared" si="63"/>
        <v>0</v>
      </c>
      <c r="G152" s="90"/>
      <c r="H152" s="90">
        <f t="shared" si="64"/>
        <v>0</v>
      </c>
      <c r="I152" s="91"/>
      <c r="J152" s="92"/>
      <c r="K152" s="91"/>
      <c r="L152" s="90">
        <f>IF(Simulador!$T$41=1,0,J152*Simulador!$W$39*1.16)</f>
        <v>0</v>
      </c>
      <c r="M152" s="90"/>
      <c r="N152" s="93">
        <f t="shared" si="65"/>
        <v>0</v>
      </c>
      <c r="O152" s="12"/>
      <c r="P152" s="544">
        <f t="shared" si="66"/>
        <v>0</v>
      </c>
      <c r="Q152" s="4"/>
      <c r="R152" s="90">
        <f t="shared" si="67"/>
        <v>0</v>
      </c>
      <c r="S152" s="90"/>
      <c r="T152" s="90">
        <f>_xlfn.IFERROR(IF(Simulador!$U$30=1,0,IF($B152&lt;=0,0,$B152*Simulador!$AA$43)),0)</f>
        <v>0</v>
      </c>
      <c r="U152" s="90"/>
      <c r="V152" s="90">
        <f>_xlfn.IFERROR(IF(Simulador!$U$30=1,0,IF($B152&lt;=0,0,IF(Simulador!$D$22&gt;0,Simulador!$D$22,Simulador!$O$24)*Simulador!$AA$44)),0)</f>
        <v>0</v>
      </c>
      <c r="W152" s="90"/>
      <c r="X152" s="90"/>
      <c r="Y152" s="90">
        <f t="shared" si="46"/>
        <v>0</v>
      </c>
      <c r="Z152" s="13"/>
      <c r="AA152" s="18"/>
      <c r="AB152" s="23"/>
      <c r="AC152" s="364"/>
      <c r="AD152" s="222">
        <v>11</v>
      </c>
      <c r="AE152" s="219">
        <v>6</v>
      </c>
      <c r="AF152" s="269">
        <f t="shared" si="47"/>
        <v>0</v>
      </c>
      <c r="AG152" s="209">
        <f t="shared" si="48"/>
        <v>0</v>
      </c>
      <c r="AH152" s="209">
        <f t="shared" si="49"/>
        <v>0</v>
      </c>
      <c r="AI152" s="219">
        <f t="shared" si="50"/>
        <v>0</v>
      </c>
      <c r="AJ152" s="425">
        <f t="shared" si="51"/>
        <v>0</v>
      </c>
      <c r="AK152" s="57">
        <f t="shared" si="52"/>
        <v>0</v>
      </c>
      <c r="AL152" s="90">
        <f t="shared" si="53"/>
        <v>0</v>
      </c>
      <c r="AM152" s="58">
        <f t="shared" si="54"/>
        <v>0</v>
      </c>
      <c r="AN152" s="57">
        <f t="shared" si="55"/>
        <v>0</v>
      </c>
      <c r="AO152" s="432">
        <f t="shared" si="56"/>
        <v>0</v>
      </c>
      <c r="AP152" s="90">
        <f>_xlfn.IFERROR(IF(Simulador!$U$30=1,0,IF($AK152&lt;=0.01,0,$AK152*Simulador!$AA$43)),0)+_xlfn.IFERROR(IF(Simulador!$U$30=1,0,IF($AK152&lt;=0.01,0,IF(Simulador!$D$22&gt;0,Simulador!$D$22,Simulador!$O$24)*Simulador!$AA$44)),0)</f>
        <v>0</v>
      </c>
      <c r="AQ152" s="90">
        <f t="shared" si="57"/>
        <v>0</v>
      </c>
      <c r="AR152" s="26">
        <f t="shared" si="58"/>
        <v>0</v>
      </c>
      <c r="AS152">
        <f t="shared" si="59"/>
        <v>0</v>
      </c>
      <c r="AT152" s="549">
        <f t="shared" si="60"/>
      </c>
      <c r="AU152" s="404">
        <f t="shared" si="61"/>
        <v>0</v>
      </c>
      <c r="AV152" s="52">
        <v>120</v>
      </c>
      <c r="AW152" s="27"/>
      <c r="AX152" s="424"/>
      <c r="AZ152" s="52"/>
    </row>
    <row r="153" spans="1:52" ht="12.75">
      <c r="A153" s="503">
        <f t="shared" si="62"/>
        <v>139</v>
      </c>
      <c r="B153" s="89">
        <f t="shared" si="45"/>
        <v>0</v>
      </c>
      <c r="C153" s="89"/>
      <c r="D153" s="90">
        <f>IF(B153+F153-D152&lt;=0,B153+F153,IF(AND(OR(Simulador!$U$39=2,Simulador!$U$39=7),J152=0),_xlfn.IFERROR((((P153/360*AU153)/(1-(1+(P153/360*AU153))^-AS153))*B153)*(1+AA153),0),IF($AF$3=2,B153*AJ153,_xlfn.IFERROR((((P153/360*AU153)/(1-(1+(P153/360*AU153))^-AS153))*B153)*(1+AA153),0))))</f>
        <v>0</v>
      </c>
      <c r="E153" s="90"/>
      <c r="F153" s="90">
        <f t="shared" si="63"/>
        <v>0</v>
      </c>
      <c r="G153" s="90"/>
      <c r="H153" s="90">
        <f t="shared" si="64"/>
        <v>0</v>
      </c>
      <c r="I153" s="91"/>
      <c r="J153" s="92"/>
      <c r="K153" s="91"/>
      <c r="L153" s="90">
        <f>IF(Simulador!$T$41=1,0,J153*Simulador!$W$39*1.16)</f>
        <v>0</v>
      </c>
      <c r="M153" s="90"/>
      <c r="N153" s="93"/>
      <c r="O153" s="12"/>
      <c r="P153" s="544">
        <f t="shared" si="66"/>
        <v>0</v>
      </c>
      <c r="Q153" s="4"/>
      <c r="R153" s="90">
        <f t="shared" si="67"/>
        <v>0</v>
      </c>
      <c r="S153" s="90"/>
      <c r="T153" s="90">
        <f>_xlfn.IFERROR(IF(Simulador!$U$30=1,0,IF($B153&lt;=0,0,$B153*Simulador!$AA$43)),0)</f>
        <v>0</v>
      </c>
      <c r="U153" s="90"/>
      <c r="V153" s="90">
        <f>_xlfn.IFERROR(IF(Simulador!$U$30=1,0,IF($B153&lt;=0,0,IF(Simulador!$D$22&gt;0,Simulador!$D$22,Simulador!$O$24)*Simulador!$AA$44)),0)</f>
        <v>0</v>
      </c>
      <c r="W153" s="90"/>
      <c r="X153" s="90"/>
      <c r="Y153" s="90">
        <f t="shared" si="46"/>
        <v>0</v>
      </c>
      <c r="Z153" s="13"/>
      <c r="AA153" s="18"/>
      <c r="AB153" s="23"/>
      <c r="AC153" s="364"/>
      <c r="AD153" s="222">
        <v>11</v>
      </c>
      <c r="AE153" s="219">
        <v>7</v>
      </c>
      <c r="AF153" s="269">
        <f t="shared" si="47"/>
        <v>0</v>
      </c>
      <c r="AG153" s="209">
        <f t="shared" si="48"/>
        <v>0</v>
      </c>
      <c r="AH153" s="209">
        <f t="shared" si="49"/>
        <v>0</v>
      </c>
      <c r="AI153" s="219">
        <f t="shared" si="50"/>
        <v>0</v>
      </c>
      <c r="AJ153" s="425">
        <f t="shared" si="51"/>
        <v>0</v>
      </c>
      <c r="AK153" s="57">
        <f t="shared" si="52"/>
        <v>0</v>
      </c>
      <c r="AL153" s="90">
        <f t="shared" si="53"/>
        <v>0</v>
      </c>
      <c r="AM153" s="58">
        <f t="shared" si="54"/>
        <v>0</v>
      </c>
      <c r="AN153" s="57">
        <f t="shared" si="55"/>
        <v>0</v>
      </c>
      <c r="AO153" s="432">
        <f t="shared" si="56"/>
        <v>0</v>
      </c>
      <c r="AP153" s="90">
        <f>_xlfn.IFERROR(IF(Simulador!$U$30=1,0,IF($AK153&lt;=0.01,0,$AK153*Simulador!$AA$43)),0)+_xlfn.IFERROR(IF(Simulador!$U$30=1,0,IF($AK153&lt;=0.01,0,IF(Simulador!$D$22&gt;0,Simulador!$D$22,Simulador!$O$24)*Simulador!$AA$44)),0)</f>
        <v>0</v>
      </c>
      <c r="AQ153" s="90">
        <f t="shared" si="57"/>
        <v>0</v>
      </c>
      <c r="AR153" s="26">
        <f t="shared" si="58"/>
        <v>0</v>
      </c>
      <c r="AS153">
        <f t="shared" si="59"/>
        <v>0</v>
      </c>
      <c r="AT153" s="549">
        <f t="shared" si="60"/>
      </c>
      <c r="AU153" s="404">
        <f t="shared" si="61"/>
        <v>0</v>
      </c>
      <c r="AV153" s="52">
        <v>120</v>
      </c>
      <c r="AW153" s="27"/>
      <c r="AX153" s="424"/>
      <c r="AZ153" s="52"/>
    </row>
    <row r="154" spans="1:52" ht="12.75">
      <c r="A154" s="503">
        <f t="shared" si="62"/>
        <v>140</v>
      </c>
      <c r="B154" s="89">
        <f t="shared" si="45"/>
        <v>0</v>
      </c>
      <c r="C154" s="89"/>
      <c r="D154" s="90">
        <f>IF(B154+F154-D153&lt;=0,B154+F154,IF(AND(OR(Simulador!$U$39=2,Simulador!$U$39=7),J153=0),_xlfn.IFERROR((((P154/360*AU154)/(1-(1+(P154/360*AU154))^-AS154))*B154)*(1+AA154),0),IF($AF$3=2,B154*AJ154,_xlfn.IFERROR((((P154/360*AU154)/(1-(1+(P154/360*AU154))^-AS154))*B154)*(1+AA154),0))))</f>
        <v>0</v>
      </c>
      <c r="E154" s="90"/>
      <c r="F154" s="90">
        <f t="shared" si="63"/>
        <v>0</v>
      </c>
      <c r="G154" s="90"/>
      <c r="H154" s="90">
        <f t="shared" si="64"/>
        <v>0</v>
      </c>
      <c r="I154" s="91"/>
      <c r="J154" s="92"/>
      <c r="K154" s="91"/>
      <c r="L154" s="90">
        <f>IF(Simulador!$T$41=1,0,J154*Simulador!$W$39*1.16)</f>
        <v>0</v>
      </c>
      <c r="M154" s="90"/>
      <c r="N154" s="93">
        <f t="shared" si="65"/>
        <v>0</v>
      </c>
      <c r="O154" s="12"/>
      <c r="P154" s="544">
        <f t="shared" si="66"/>
        <v>0</v>
      </c>
      <c r="Q154" s="4"/>
      <c r="R154" s="90">
        <f t="shared" si="67"/>
        <v>0</v>
      </c>
      <c r="S154" s="90"/>
      <c r="T154" s="90">
        <f>_xlfn.IFERROR(IF(Simulador!$U$30=1,0,IF($B154&lt;=0,0,$B154*Simulador!$AA$43)),0)</f>
        <v>0</v>
      </c>
      <c r="U154" s="90"/>
      <c r="V154" s="90">
        <f>_xlfn.IFERROR(IF(Simulador!$U$30=1,0,IF($B154&lt;=0,0,IF(Simulador!$D$22&gt;0,Simulador!$D$22,Simulador!$O$24)*Simulador!$AA$44)),0)</f>
        <v>0</v>
      </c>
      <c r="W154" s="90"/>
      <c r="X154" s="90"/>
      <c r="Y154" s="90">
        <f t="shared" si="46"/>
        <v>0</v>
      </c>
      <c r="Z154" s="13"/>
      <c r="AA154" s="18"/>
      <c r="AB154" s="23"/>
      <c r="AC154" s="364"/>
      <c r="AD154" s="222">
        <v>11</v>
      </c>
      <c r="AE154" s="219">
        <v>8</v>
      </c>
      <c r="AF154" s="269">
        <f t="shared" si="47"/>
        <v>0</v>
      </c>
      <c r="AG154" s="209">
        <f t="shared" si="48"/>
        <v>0</v>
      </c>
      <c r="AH154" s="209">
        <f t="shared" si="49"/>
        <v>0</v>
      </c>
      <c r="AI154" s="219">
        <f t="shared" si="50"/>
        <v>0</v>
      </c>
      <c r="AJ154" s="425">
        <f t="shared" si="51"/>
        <v>0</v>
      </c>
      <c r="AK154" s="57">
        <f t="shared" si="52"/>
        <v>0</v>
      </c>
      <c r="AL154" s="90">
        <f t="shared" si="53"/>
        <v>0</v>
      </c>
      <c r="AM154" s="58">
        <f t="shared" si="54"/>
        <v>0</v>
      </c>
      <c r="AN154" s="57">
        <f t="shared" si="55"/>
        <v>0</v>
      </c>
      <c r="AO154" s="432">
        <f t="shared" si="56"/>
        <v>0</v>
      </c>
      <c r="AP154" s="90">
        <f>_xlfn.IFERROR(IF(Simulador!$U$30=1,0,IF($AK154&lt;=0.01,0,$AK154*Simulador!$AA$43)),0)+_xlfn.IFERROR(IF(Simulador!$U$30=1,0,IF($AK154&lt;=0.01,0,IF(Simulador!$D$22&gt;0,Simulador!$D$22,Simulador!$O$24)*Simulador!$AA$44)),0)</f>
        <v>0</v>
      </c>
      <c r="AQ154" s="90">
        <f t="shared" si="57"/>
        <v>0</v>
      </c>
      <c r="AR154" s="26">
        <f t="shared" si="58"/>
        <v>0</v>
      </c>
      <c r="AS154">
        <f t="shared" si="59"/>
        <v>0</v>
      </c>
      <c r="AT154" s="549">
        <f t="shared" si="60"/>
      </c>
      <c r="AU154" s="404">
        <f t="shared" si="61"/>
        <v>0</v>
      </c>
      <c r="AV154" s="52">
        <v>120</v>
      </c>
      <c r="AW154" s="27"/>
      <c r="AX154" s="424"/>
      <c r="AZ154" s="52"/>
    </row>
    <row r="155" spans="1:52" ht="12.75">
      <c r="A155" s="503">
        <f t="shared" si="62"/>
        <v>141</v>
      </c>
      <c r="B155" s="89">
        <f t="shared" si="45"/>
        <v>0</v>
      </c>
      <c r="C155" s="89"/>
      <c r="D155" s="90">
        <f>IF(B155+F155-D154&lt;=0,B155+F155,IF(AND(OR(Simulador!$U$39=2,Simulador!$U$39=7),J154=0),_xlfn.IFERROR((((P155/360*AU155)/(1-(1+(P155/360*AU155))^-AS155))*B155)*(1+AA155),0),IF($AF$3=2,B155*AJ155,_xlfn.IFERROR((((P155/360*AU155)/(1-(1+(P155/360*AU155))^-AS155))*B155)*(1+AA155),0))))</f>
        <v>0</v>
      </c>
      <c r="E155" s="90"/>
      <c r="F155" s="90">
        <f t="shared" si="63"/>
        <v>0</v>
      </c>
      <c r="G155" s="90"/>
      <c r="H155" s="90">
        <f t="shared" si="64"/>
        <v>0</v>
      </c>
      <c r="I155" s="91"/>
      <c r="J155" s="92"/>
      <c r="K155" s="91"/>
      <c r="L155" s="90">
        <f>IF(Simulador!$T$41=1,0,J155*Simulador!$W$39*1.16)</f>
        <v>0</v>
      </c>
      <c r="M155" s="90"/>
      <c r="N155" s="93"/>
      <c r="O155" s="12"/>
      <c r="P155" s="544">
        <f t="shared" si="66"/>
        <v>0</v>
      </c>
      <c r="Q155" s="4"/>
      <c r="R155" s="90">
        <f t="shared" si="67"/>
        <v>0</v>
      </c>
      <c r="S155" s="90"/>
      <c r="T155" s="90">
        <f>_xlfn.IFERROR(IF(Simulador!$U$30=1,0,IF($B155&lt;=0,0,$B155*Simulador!$AA$43)),0)</f>
        <v>0</v>
      </c>
      <c r="U155" s="90"/>
      <c r="V155" s="90">
        <f>_xlfn.IFERROR(IF(Simulador!$U$30=1,0,IF($B155&lt;=0,0,IF(Simulador!$D$22&gt;0,Simulador!$D$22,Simulador!$O$24)*Simulador!$AA$44)),0)</f>
        <v>0</v>
      </c>
      <c r="W155" s="90"/>
      <c r="X155" s="90"/>
      <c r="Y155" s="90">
        <f t="shared" si="46"/>
        <v>0</v>
      </c>
      <c r="Z155" s="13"/>
      <c r="AA155" s="18"/>
      <c r="AB155" s="23"/>
      <c r="AC155" s="364"/>
      <c r="AD155" s="222">
        <v>11</v>
      </c>
      <c r="AE155" s="221">
        <v>9</v>
      </c>
      <c r="AF155" s="269">
        <f t="shared" si="47"/>
        <v>0</v>
      </c>
      <c r="AG155" s="209">
        <f t="shared" si="48"/>
        <v>0</v>
      </c>
      <c r="AH155" s="209">
        <f t="shared" si="49"/>
        <v>0</v>
      </c>
      <c r="AI155" s="219">
        <f t="shared" si="50"/>
        <v>0</v>
      </c>
      <c r="AJ155" s="425">
        <f t="shared" si="51"/>
        <v>0</v>
      </c>
      <c r="AK155" s="57">
        <f t="shared" si="52"/>
        <v>0</v>
      </c>
      <c r="AL155" s="90">
        <f t="shared" si="53"/>
        <v>0</v>
      </c>
      <c r="AM155" s="58">
        <f t="shared" si="54"/>
        <v>0</v>
      </c>
      <c r="AN155" s="57">
        <f t="shared" si="55"/>
        <v>0</v>
      </c>
      <c r="AO155" s="432">
        <f t="shared" si="56"/>
        <v>0</v>
      </c>
      <c r="AP155" s="90">
        <f>_xlfn.IFERROR(IF(Simulador!$U$30=1,0,IF($AK155&lt;=0.01,0,$AK155*Simulador!$AA$43)),0)+_xlfn.IFERROR(IF(Simulador!$U$30=1,0,IF($AK155&lt;=0.01,0,IF(Simulador!$D$22&gt;0,Simulador!$D$22,Simulador!$O$24)*Simulador!$AA$44)),0)</f>
        <v>0</v>
      </c>
      <c r="AQ155" s="90">
        <f t="shared" si="57"/>
        <v>0</v>
      </c>
      <c r="AR155" s="26">
        <f t="shared" si="58"/>
        <v>0</v>
      </c>
      <c r="AS155">
        <f t="shared" si="59"/>
        <v>0</v>
      </c>
      <c r="AT155" s="549">
        <f t="shared" si="60"/>
      </c>
      <c r="AU155" s="404">
        <f t="shared" si="61"/>
        <v>0</v>
      </c>
      <c r="AV155" s="52">
        <v>120</v>
      </c>
      <c r="AW155" s="27"/>
      <c r="AX155" s="424"/>
      <c r="AZ155" s="52"/>
    </row>
    <row r="156" spans="1:52" ht="12.75">
      <c r="A156" s="503">
        <f t="shared" si="62"/>
        <v>142</v>
      </c>
      <c r="B156" s="89">
        <f t="shared" si="45"/>
        <v>0</v>
      </c>
      <c r="C156" s="89"/>
      <c r="D156" s="90">
        <f>IF(B156+F156-D155&lt;=0,B156+F156,IF(AND(OR(Simulador!$U$39=2,Simulador!$U$39=7),J155=0),_xlfn.IFERROR((((P156/360*AU156)/(1-(1+(P156/360*AU156))^-AS156))*B156)*(1+AA156),0),IF($AF$3=2,B156*AJ156,_xlfn.IFERROR((((P156/360*AU156)/(1-(1+(P156/360*AU156))^-AS156))*B156)*(1+AA156),0))))</f>
        <v>0</v>
      </c>
      <c r="E156" s="90"/>
      <c r="F156" s="90">
        <f t="shared" si="63"/>
        <v>0</v>
      </c>
      <c r="G156" s="90"/>
      <c r="H156" s="90">
        <f t="shared" si="64"/>
        <v>0</v>
      </c>
      <c r="I156" s="91"/>
      <c r="J156" s="92"/>
      <c r="K156" s="91"/>
      <c r="L156" s="90">
        <f>IF(Simulador!$T$41=1,0,J156*Simulador!$W$39*1.16)</f>
        <v>0</v>
      </c>
      <c r="M156" s="90"/>
      <c r="N156" s="93">
        <f t="shared" si="65"/>
        <v>0</v>
      </c>
      <c r="O156" s="12"/>
      <c r="P156" s="544">
        <f t="shared" si="66"/>
        <v>0</v>
      </c>
      <c r="Q156" s="4"/>
      <c r="R156" s="90">
        <f t="shared" si="67"/>
        <v>0</v>
      </c>
      <c r="S156" s="90"/>
      <c r="T156" s="90">
        <f>_xlfn.IFERROR(IF(Simulador!$U$30=1,0,IF($B156&lt;=0,0,$B156*Simulador!$AA$43)),0)</f>
        <v>0</v>
      </c>
      <c r="U156" s="90"/>
      <c r="V156" s="90">
        <f>_xlfn.IFERROR(IF(Simulador!$U$30=1,0,IF($B156&lt;=0,0,IF(Simulador!$D$22&gt;0,Simulador!$D$22,Simulador!$O$24)*Simulador!$AA$44)),0)</f>
        <v>0</v>
      </c>
      <c r="W156" s="90"/>
      <c r="X156" s="90"/>
      <c r="Y156" s="90">
        <f t="shared" si="46"/>
        <v>0</v>
      </c>
      <c r="Z156" s="13"/>
      <c r="AA156" s="18"/>
      <c r="AB156" s="23"/>
      <c r="AC156" s="364"/>
      <c r="AD156" s="222">
        <v>11</v>
      </c>
      <c r="AE156" s="221">
        <v>10</v>
      </c>
      <c r="AF156" s="269">
        <f t="shared" si="47"/>
        <v>0</v>
      </c>
      <c r="AG156" s="209">
        <f t="shared" si="48"/>
        <v>0</v>
      </c>
      <c r="AH156" s="209">
        <f t="shared" si="49"/>
        <v>0</v>
      </c>
      <c r="AI156" s="219">
        <f t="shared" si="50"/>
        <v>0</v>
      </c>
      <c r="AJ156" s="425">
        <f t="shared" si="51"/>
        <v>0</v>
      </c>
      <c r="AK156" s="57">
        <f t="shared" si="52"/>
        <v>0</v>
      </c>
      <c r="AL156" s="90">
        <f t="shared" si="53"/>
        <v>0</v>
      </c>
      <c r="AM156" s="58">
        <f t="shared" si="54"/>
        <v>0</v>
      </c>
      <c r="AN156" s="57">
        <f t="shared" si="55"/>
        <v>0</v>
      </c>
      <c r="AO156" s="432">
        <f t="shared" si="56"/>
        <v>0</v>
      </c>
      <c r="AP156" s="90">
        <f>_xlfn.IFERROR(IF(Simulador!$U$30=1,0,IF($AK156&lt;=0.01,0,$AK156*Simulador!$AA$43)),0)+_xlfn.IFERROR(IF(Simulador!$U$30=1,0,IF($AK156&lt;=0.01,0,IF(Simulador!$D$22&gt;0,Simulador!$D$22,Simulador!$O$24)*Simulador!$AA$44)),0)</f>
        <v>0</v>
      </c>
      <c r="AQ156" s="90">
        <f t="shared" si="57"/>
        <v>0</v>
      </c>
      <c r="AR156" s="26">
        <f t="shared" si="58"/>
        <v>0</v>
      </c>
      <c r="AS156">
        <f t="shared" si="59"/>
        <v>0</v>
      </c>
      <c r="AT156" s="549">
        <f t="shared" si="60"/>
      </c>
      <c r="AU156" s="404">
        <f t="shared" si="61"/>
        <v>0</v>
      </c>
      <c r="AV156" s="52">
        <v>120</v>
      </c>
      <c r="AW156" s="27"/>
      <c r="AX156" s="424"/>
      <c r="AZ156" s="52"/>
    </row>
    <row r="157" spans="1:52" ht="12.75">
      <c r="A157" s="503">
        <f t="shared" si="62"/>
        <v>143</v>
      </c>
      <c r="B157" s="89">
        <f t="shared" si="45"/>
        <v>0</v>
      </c>
      <c r="C157" s="89"/>
      <c r="D157" s="90">
        <f>IF(B157+F157-D156&lt;=0,B157+F157,IF(AND(OR(Simulador!$U$39=2,Simulador!$U$39=7),J156=0),_xlfn.IFERROR((((P157/360*AU157)/(1-(1+(P157/360*AU157))^-AS157))*B157)*(1+AA157),0),IF($AF$3=2,B157*AJ157,_xlfn.IFERROR((((P157/360*AU157)/(1-(1+(P157/360*AU157))^-AS157))*B157)*(1+AA157),0))))</f>
        <v>0</v>
      </c>
      <c r="E157" s="90"/>
      <c r="F157" s="90">
        <f t="shared" si="63"/>
        <v>0</v>
      </c>
      <c r="G157" s="90"/>
      <c r="H157" s="90">
        <f t="shared" si="64"/>
        <v>0</v>
      </c>
      <c r="I157" s="91"/>
      <c r="J157" s="92"/>
      <c r="K157" s="91"/>
      <c r="L157" s="90">
        <f>IF(Simulador!$T$41=1,0,J157*Simulador!$W$39*1.16)</f>
        <v>0</v>
      </c>
      <c r="M157" s="90"/>
      <c r="N157" s="93"/>
      <c r="O157" s="12"/>
      <c r="P157" s="544">
        <f t="shared" si="66"/>
        <v>0</v>
      </c>
      <c r="Q157" s="4"/>
      <c r="R157" s="90">
        <f t="shared" si="67"/>
        <v>0</v>
      </c>
      <c r="S157" s="90"/>
      <c r="T157" s="90">
        <f>_xlfn.IFERROR(IF(Simulador!$U$30=1,0,IF($B157&lt;=0,0,$B157*Simulador!$AA$43)),0)</f>
        <v>0</v>
      </c>
      <c r="U157" s="90"/>
      <c r="V157" s="90">
        <f>_xlfn.IFERROR(IF(Simulador!$U$30=1,0,IF($B157&lt;=0,0,IF(Simulador!$D$22&gt;0,Simulador!$D$22,Simulador!$O$24)*Simulador!$AA$44)),0)</f>
        <v>0</v>
      </c>
      <c r="W157" s="90"/>
      <c r="X157" s="90"/>
      <c r="Y157" s="90">
        <f t="shared" si="46"/>
        <v>0</v>
      </c>
      <c r="Z157" s="13"/>
      <c r="AA157" s="18"/>
      <c r="AB157" s="23"/>
      <c r="AC157" s="364"/>
      <c r="AD157" s="222">
        <v>11</v>
      </c>
      <c r="AE157" s="219">
        <v>11</v>
      </c>
      <c r="AF157" s="269">
        <f t="shared" si="47"/>
        <v>0</v>
      </c>
      <c r="AG157" s="209">
        <f t="shared" si="48"/>
        <v>0</v>
      </c>
      <c r="AH157" s="209">
        <f t="shared" si="49"/>
        <v>0</v>
      </c>
      <c r="AI157" s="219">
        <f t="shared" si="50"/>
        <v>0</v>
      </c>
      <c r="AJ157" s="425">
        <f t="shared" si="51"/>
        <v>0</v>
      </c>
      <c r="AK157" s="57">
        <f t="shared" si="52"/>
        <v>0</v>
      </c>
      <c r="AL157" s="90">
        <f t="shared" si="53"/>
        <v>0</v>
      </c>
      <c r="AM157" s="58">
        <f t="shared" si="54"/>
        <v>0</v>
      </c>
      <c r="AN157" s="57">
        <f t="shared" si="55"/>
        <v>0</v>
      </c>
      <c r="AO157" s="432">
        <f t="shared" si="56"/>
        <v>0</v>
      </c>
      <c r="AP157" s="90">
        <f>_xlfn.IFERROR(IF(Simulador!$U$30=1,0,IF($AK157&lt;=0.01,0,$AK157*Simulador!$AA$43)),0)+_xlfn.IFERROR(IF(Simulador!$U$30=1,0,IF($AK157&lt;=0.01,0,IF(Simulador!$D$22&gt;0,Simulador!$D$22,Simulador!$O$24)*Simulador!$AA$44)),0)</f>
        <v>0</v>
      </c>
      <c r="AQ157" s="90">
        <f t="shared" si="57"/>
        <v>0</v>
      </c>
      <c r="AR157" s="26">
        <f t="shared" si="58"/>
        <v>0</v>
      </c>
      <c r="AS157">
        <f t="shared" si="59"/>
        <v>0</v>
      </c>
      <c r="AT157" s="549">
        <f t="shared" si="60"/>
      </c>
      <c r="AU157" s="404">
        <f t="shared" si="61"/>
        <v>0</v>
      </c>
      <c r="AV157" s="52">
        <v>120</v>
      </c>
      <c r="AW157" s="27"/>
      <c r="AX157" s="424"/>
      <c r="AZ157" s="52"/>
    </row>
    <row r="158" spans="1:52" ht="12.75">
      <c r="A158" s="503">
        <f t="shared" si="62"/>
        <v>144</v>
      </c>
      <c r="B158" s="89">
        <f t="shared" si="45"/>
        <v>0</v>
      </c>
      <c r="C158" s="89"/>
      <c r="D158" s="90">
        <f>IF(B158+F158-D157&lt;=0,B158+F158,IF(AND(OR(Simulador!$U$39=2,Simulador!$U$39=7),J157=0),_xlfn.IFERROR((((P158/360*AU158)/(1-(1+(P158/360*AU158))^-AS158))*B158)*(1+AA158),0),IF($AF$3=2,B158*AJ158,_xlfn.IFERROR((((P158/360*AU158)/(1-(1+(P158/360*AU158))^-AS158))*B158)*(1+AA158),0))))</f>
        <v>0</v>
      </c>
      <c r="E158" s="90"/>
      <c r="F158" s="90">
        <f t="shared" si="63"/>
        <v>0</v>
      </c>
      <c r="G158" s="90"/>
      <c r="H158" s="90">
        <f t="shared" si="64"/>
        <v>0</v>
      </c>
      <c r="I158" s="91"/>
      <c r="J158" s="92"/>
      <c r="K158" s="91"/>
      <c r="L158" s="90">
        <f>IF(Simulador!$T$41=1,0,J158*Simulador!$W$39*1.16)</f>
        <v>0</v>
      </c>
      <c r="M158" s="90"/>
      <c r="N158" s="93">
        <f t="shared" si="65"/>
        <v>0</v>
      </c>
      <c r="O158" s="12"/>
      <c r="P158" s="544">
        <f t="shared" si="66"/>
        <v>0</v>
      </c>
      <c r="Q158" s="4"/>
      <c r="R158" s="90">
        <f t="shared" si="67"/>
        <v>0</v>
      </c>
      <c r="S158" s="90"/>
      <c r="T158" s="90">
        <f>_xlfn.IFERROR(IF(Simulador!$U$30=1,0,IF($B158&lt;=0,0,$B158*Simulador!$AA$43)),0)</f>
        <v>0</v>
      </c>
      <c r="U158" s="90"/>
      <c r="V158" s="90">
        <f>_xlfn.IFERROR(IF(Simulador!$U$30=1,0,IF($B158&lt;=0,0,IF(Simulador!$D$22&gt;0,Simulador!$D$22,Simulador!$O$24)*Simulador!$AA$44)),0)</f>
        <v>0</v>
      </c>
      <c r="W158" s="90"/>
      <c r="X158" s="90"/>
      <c r="Y158" s="90">
        <f t="shared" si="46"/>
        <v>0</v>
      </c>
      <c r="Z158" s="13"/>
      <c r="AA158" s="18"/>
      <c r="AB158" s="23"/>
      <c r="AC158" s="364"/>
      <c r="AD158" s="222">
        <v>12</v>
      </c>
      <c r="AE158" s="219">
        <v>0</v>
      </c>
      <c r="AF158" s="269">
        <f t="shared" si="47"/>
        <v>0</v>
      </c>
      <c r="AG158" s="209">
        <f t="shared" si="48"/>
        <v>0</v>
      </c>
      <c r="AH158" s="209">
        <f t="shared" si="49"/>
        <v>0</v>
      </c>
      <c r="AI158" s="219">
        <f t="shared" si="50"/>
        <v>0</v>
      </c>
      <c r="AJ158" s="425">
        <f t="shared" si="51"/>
        <v>0</v>
      </c>
      <c r="AK158" s="57">
        <f t="shared" si="52"/>
        <v>0</v>
      </c>
      <c r="AL158" s="90">
        <f t="shared" si="53"/>
        <v>0</v>
      </c>
      <c r="AM158" s="58">
        <f t="shared" si="54"/>
        <v>0</v>
      </c>
      <c r="AN158" s="57">
        <f t="shared" si="55"/>
        <v>0</v>
      </c>
      <c r="AO158" s="432">
        <f t="shared" si="56"/>
        <v>0</v>
      </c>
      <c r="AP158" s="90">
        <f>_xlfn.IFERROR(IF(Simulador!$U$30=1,0,IF($AK158&lt;=0.01,0,$AK158*Simulador!$AA$43)),0)+_xlfn.IFERROR(IF(Simulador!$U$30=1,0,IF($AK158&lt;=0.01,0,IF(Simulador!$D$22&gt;0,Simulador!$D$22,Simulador!$O$24)*Simulador!$AA$44)),0)</f>
        <v>0</v>
      </c>
      <c r="AQ158" s="90">
        <f t="shared" si="57"/>
        <v>0</v>
      </c>
      <c r="AR158" s="26">
        <f t="shared" si="58"/>
        <v>0</v>
      </c>
      <c r="AS158">
        <f t="shared" si="59"/>
        <v>0</v>
      </c>
      <c r="AT158" s="549">
        <f t="shared" si="60"/>
      </c>
      <c r="AU158" s="404">
        <f t="shared" si="61"/>
        <v>0</v>
      </c>
      <c r="AV158" s="52">
        <v>120</v>
      </c>
      <c r="AW158" s="27"/>
      <c r="AX158" s="424"/>
      <c r="AZ158" s="52"/>
    </row>
    <row r="159" spans="1:52" ht="12.75">
      <c r="A159" s="503">
        <f t="shared" si="62"/>
        <v>145</v>
      </c>
      <c r="B159" s="89">
        <f t="shared" si="45"/>
        <v>0</v>
      </c>
      <c r="C159" s="89"/>
      <c r="D159" s="90">
        <f>IF(B159+F159-D158&lt;=0,B159+F159,IF(AND(OR(Simulador!$U$39=2,Simulador!$U$39=7),J158=0),_xlfn.IFERROR((((P159/360*AU159)/(1-(1+(P159/360*AU159))^-AS159))*B159)*(1+AA159),0),IF($AF$3=2,B159*AJ159,_xlfn.IFERROR((((P159/360*AU159)/(1-(1+(P159/360*AU159))^-AS159))*B159)*(1+AA159),0))))</f>
        <v>0</v>
      </c>
      <c r="E159" s="90"/>
      <c r="F159" s="90">
        <f t="shared" si="63"/>
        <v>0</v>
      </c>
      <c r="G159" s="90"/>
      <c r="H159" s="90">
        <f t="shared" si="64"/>
        <v>0</v>
      </c>
      <c r="I159" s="91"/>
      <c r="J159" s="92"/>
      <c r="K159" s="91"/>
      <c r="L159" s="90">
        <f>IF(Simulador!$T$41=1,0,J159*Simulador!$W$39*1.16)</f>
        <v>0</v>
      </c>
      <c r="M159" s="90"/>
      <c r="N159" s="93"/>
      <c r="O159" s="12"/>
      <c r="P159" s="544">
        <f t="shared" si="66"/>
        <v>0</v>
      </c>
      <c r="Q159" s="4"/>
      <c r="R159" s="90">
        <f t="shared" si="67"/>
        <v>0</v>
      </c>
      <c r="S159" s="90"/>
      <c r="T159" s="90">
        <f>_xlfn.IFERROR(IF(Simulador!$U$30=1,0,IF($B159&lt;=0,0,$B159*Simulador!$AA$43)),0)</f>
        <v>0</v>
      </c>
      <c r="U159" s="90"/>
      <c r="V159" s="90">
        <f>_xlfn.IFERROR(IF(Simulador!$U$30=1,0,IF($B159&lt;=0,0,IF(Simulador!$D$22&gt;0,Simulador!$D$22,Simulador!$O$24)*Simulador!$AA$44)),0)</f>
        <v>0</v>
      </c>
      <c r="W159" s="90"/>
      <c r="X159" s="90"/>
      <c r="Y159" s="90">
        <f t="shared" si="46"/>
        <v>0</v>
      </c>
      <c r="Z159" s="13"/>
      <c r="AA159" s="18"/>
      <c r="AB159" s="23"/>
      <c r="AC159" s="364"/>
      <c r="AD159" s="222">
        <v>12</v>
      </c>
      <c r="AE159" s="219">
        <v>1</v>
      </c>
      <c r="AF159" s="269">
        <f t="shared" si="47"/>
        <v>0</v>
      </c>
      <c r="AG159" s="209">
        <f t="shared" si="48"/>
        <v>0</v>
      </c>
      <c r="AH159" s="209">
        <f t="shared" si="49"/>
        <v>0</v>
      </c>
      <c r="AI159" s="219">
        <f t="shared" si="50"/>
        <v>0</v>
      </c>
      <c r="AJ159" s="425">
        <f t="shared" si="51"/>
        <v>0</v>
      </c>
      <c r="AK159" s="57">
        <f t="shared" si="52"/>
        <v>0</v>
      </c>
      <c r="AL159" s="90">
        <f t="shared" si="53"/>
        <v>0</v>
      </c>
      <c r="AM159" s="58">
        <f t="shared" si="54"/>
        <v>0</v>
      </c>
      <c r="AN159" s="57">
        <f t="shared" si="55"/>
        <v>0</v>
      </c>
      <c r="AO159" s="432">
        <f t="shared" si="56"/>
        <v>0</v>
      </c>
      <c r="AP159" s="90">
        <f>_xlfn.IFERROR(IF(Simulador!$U$30=1,0,IF($AK159&lt;=0.01,0,$AK159*Simulador!$AA$43)),0)+_xlfn.IFERROR(IF(Simulador!$U$30=1,0,IF($AK159&lt;=0.01,0,IF(Simulador!$D$22&gt;0,Simulador!$D$22,Simulador!$O$24)*Simulador!$AA$44)),0)</f>
        <v>0</v>
      </c>
      <c r="AQ159" s="90">
        <f t="shared" si="57"/>
        <v>0</v>
      </c>
      <c r="AR159" s="26">
        <f t="shared" si="58"/>
        <v>0</v>
      </c>
      <c r="AS159">
        <f t="shared" si="59"/>
        <v>0</v>
      </c>
      <c r="AT159" s="549">
        <f t="shared" si="60"/>
      </c>
      <c r="AU159" s="404">
        <f t="shared" si="61"/>
        <v>0</v>
      </c>
      <c r="AV159" s="52">
        <v>120</v>
      </c>
      <c r="AW159" s="27"/>
      <c r="AX159" s="424"/>
      <c r="AZ159" s="52"/>
    </row>
    <row r="160" spans="1:52" ht="12.75">
      <c r="A160" s="503">
        <f t="shared" si="62"/>
        <v>146</v>
      </c>
      <c r="B160" s="89">
        <f t="shared" si="45"/>
        <v>0</v>
      </c>
      <c r="C160" s="89"/>
      <c r="D160" s="90">
        <f>IF(B160+F160-D159&lt;=0,B160+F160,IF(AND(OR(Simulador!$U$39=2,Simulador!$U$39=7),J159=0),_xlfn.IFERROR((((P160/360*AU160)/(1-(1+(P160/360*AU160))^-AS160))*B160)*(1+AA160),0),IF($AF$3=2,B160*AJ160,_xlfn.IFERROR((((P160/360*AU160)/(1-(1+(P160/360*AU160))^-AS160))*B160)*(1+AA160),0))))</f>
        <v>0</v>
      </c>
      <c r="E160" s="90"/>
      <c r="F160" s="90">
        <f t="shared" si="63"/>
        <v>0</v>
      </c>
      <c r="G160" s="90"/>
      <c r="H160" s="90">
        <f t="shared" si="64"/>
        <v>0</v>
      </c>
      <c r="I160" s="91"/>
      <c r="J160" s="92"/>
      <c r="K160" s="91"/>
      <c r="L160" s="90">
        <f>IF(Simulador!$T$41=1,0,J160*Simulador!$W$39*1.16)</f>
        <v>0</v>
      </c>
      <c r="M160" s="90"/>
      <c r="N160" s="93">
        <f t="shared" si="65"/>
        <v>0</v>
      </c>
      <c r="O160" s="12"/>
      <c r="P160" s="544">
        <f t="shared" si="66"/>
        <v>0</v>
      </c>
      <c r="Q160" s="4"/>
      <c r="R160" s="90">
        <f t="shared" si="67"/>
        <v>0</v>
      </c>
      <c r="S160" s="90"/>
      <c r="T160" s="90">
        <f>_xlfn.IFERROR(IF(Simulador!$U$30=1,0,IF($B160&lt;=0,0,$B160*Simulador!$AA$43)),0)</f>
        <v>0</v>
      </c>
      <c r="U160" s="90"/>
      <c r="V160" s="90">
        <f>_xlfn.IFERROR(IF(Simulador!$U$30=1,0,IF($B160&lt;=0,0,IF(Simulador!$D$22&gt;0,Simulador!$D$22,Simulador!$O$24)*Simulador!$AA$44)),0)</f>
        <v>0</v>
      </c>
      <c r="W160" s="90"/>
      <c r="X160" s="90"/>
      <c r="Y160" s="90">
        <f t="shared" si="46"/>
        <v>0</v>
      </c>
      <c r="Z160" s="13"/>
      <c r="AA160" s="18"/>
      <c r="AB160" s="23"/>
      <c r="AC160" s="364"/>
      <c r="AD160" s="222">
        <v>12</v>
      </c>
      <c r="AE160" s="220">
        <v>2</v>
      </c>
      <c r="AF160" s="269">
        <f t="shared" si="47"/>
        <v>0</v>
      </c>
      <c r="AG160" s="209">
        <f t="shared" si="48"/>
        <v>0</v>
      </c>
      <c r="AH160" s="209">
        <f t="shared" si="49"/>
        <v>0</v>
      </c>
      <c r="AI160" s="219">
        <f t="shared" si="50"/>
        <v>0</v>
      </c>
      <c r="AJ160" s="425">
        <f t="shared" si="51"/>
        <v>0</v>
      </c>
      <c r="AK160" s="57">
        <f t="shared" si="52"/>
        <v>0</v>
      </c>
      <c r="AL160" s="90">
        <f t="shared" si="53"/>
        <v>0</v>
      </c>
      <c r="AM160" s="58">
        <f t="shared" si="54"/>
        <v>0</v>
      </c>
      <c r="AN160" s="57">
        <f t="shared" si="55"/>
        <v>0</v>
      </c>
      <c r="AO160" s="432">
        <f t="shared" si="56"/>
        <v>0</v>
      </c>
      <c r="AP160" s="90">
        <f>_xlfn.IFERROR(IF(Simulador!$U$30=1,0,IF($AK160&lt;=0.01,0,$AK160*Simulador!$AA$43)),0)+_xlfn.IFERROR(IF(Simulador!$U$30=1,0,IF($AK160&lt;=0.01,0,IF(Simulador!$D$22&gt;0,Simulador!$D$22,Simulador!$O$24)*Simulador!$AA$44)),0)</f>
        <v>0</v>
      </c>
      <c r="AQ160" s="90">
        <f t="shared" si="57"/>
        <v>0</v>
      </c>
      <c r="AR160" s="26">
        <f t="shared" si="58"/>
        <v>0</v>
      </c>
      <c r="AS160">
        <f t="shared" si="59"/>
        <v>0</v>
      </c>
      <c r="AT160" s="549">
        <f t="shared" si="60"/>
      </c>
      <c r="AU160" s="404">
        <f t="shared" si="61"/>
        <v>0</v>
      </c>
      <c r="AV160" s="52">
        <v>120</v>
      </c>
      <c r="AW160" s="27"/>
      <c r="AX160" s="424"/>
      <c r="AZ160" s="52"/>
    </row>
    <row r="161" spans="1:52" ht="12.75">
      <c r="A161" s="503">
        <f t="shared" si="62"/>
        <v>147</v>
      </c>
      <c r="B161" s="89">
        <f t="shared" si="45"/>
        <v>0</v>
      </c>
      <c r="C161" s="89"/>
      <c r="D161" s="90">
        <f>IF(B161+F161-D160&lt;=0,B161+F161,IF(AND(OR(Simulador!$U$39=2,Simulador!$U$39=7),J160=0),_xlfn.IFERROR((((P161/360*AU161)/(1-(1+(P161/360*AU161))^-AS161))*B161)*(1+AA161),0),IF($AF$3=2,B161*AJ161,_xlfn.IFERROR((((P161/360*AU161)/(1-(1+(P161/360*AU161))^-AS161))*B161)*(1+AA161),0))))</f>
        <v>0</v>
      </c>
      <c r="E161" s="90"/>
      <c r="F161" s="90">
        <f t="shared" si="63"/>
        <v>0</v>
      </c>
      <c r="G161" s="90"/>
      <c r="H161" s="90">
        <f t="shared" si="64"/>
        <v>0</v>
      </c>
      <c r="I161" s="91"/>
      <c r="J161" s="92"/>
      <c r="K161" s="91"/>
      <c r="L161" s="90">
        <f>IF(Simulador!$T$41=1,0,J161*Simulador!$W$39*1.16)</f>
        <v>0</v>
      </c>
      <c r="M161" s="90"/>
      <c r="N161" s="93"/>
      <c r="O161" s="12"/>
      <c r="P161" s="544">
        <f t="shared" si="66"/>
        <v>0</v>
      </c>
      <c r="Q161" s="4"/>
      <c r="R161" s="90">
        <f t="shared" si="67"/>
        <v>0</v>
      </c>
      <c r="S161" s="90"/>
      <c r="T161" s="90">
        <f>_xlfn.IFERROR(IF(Simulador!$U$30=1,0,IF($B161&lt;=0,0,$B161*Simulador!$AA$43)),0)</f>
        <v>0</v>
      </c>
      <c r="U161" s="90"/>
      <c r="V161" s="90">
        <f>_xlfn.IFERROR(IF(Simulador!$U$30=1,0,IF($B161&lt;=0,0,IF(Simulador!$D$22&gt;0,Simulador!$D$22,Simulador!$O$24)*Simulador!$AA$44)),0)</f>
        <v>0</v>
      </c>
      <c r="W161" s="90"/>
      <c r="X161" s="90"/>
      <c r="Y161" s="90">
        <f t="shared" si="46"/>
        <v>0</v>
      </c>
      <c r="Z161" s="13"/>
      <c r="AA161" s="18"/>
      <c r="AB161" s="23"/>
      <c r="AC161" s="364"/>
      <c r="AD161" s="222">
        <v>12</v>
      </c>
      <c r="AE161" s="220">
        <v>3</v>
      </c>
      <c r="AF161" s="269">
        <f t="shared" si="47"/>
        <v>0</v>
      </c>
      <c r="AG161" s="209">
        <f t="shared" si="48"/>
        <v>0</v>
      </c>
      <c r="AH161" s="209">
        <f t="shared" si="49"/>
        <v>0</v>
      </c>
      <c r="AI161" s="219">
        <f t="shared" si="50"/>
        <v>0</v>
      </c>
      <c r="AJ161" s="425">
        <f t="shared" si="51"/>
        <v>0</v>
      </c>
      <c r="AK161" s="57">
        <f t="shared" si="52"/>
        <v>0</v>
      </c>
      <c r="AL161" s="90">
        <f t="shared" si="53"/>
        <v>0</v>
      </c>
      <c r="AM161" s="58">
        <f t="shared" si="54"/>
        <v>0</v>
      </c>
      <c r="AN161" s="57">
        <f t="shared" si="55"/>
        <v>0</v>
      </c>
      <c r="AO161" s="432">
        <f t="shared" si="56"/>
        <v>0</v>
      </c>
      <c r="AP161" s="90">
        <f>_xlfn.IFERROR(IF(Simulador!$U$30=1,0,IF($AK161&lt;=0.01,0,$AK161*Simulador!$AA$43)),0)+_xlfn.IFERROR(IF(Simulador!$U$30=1,0,IF($AK161&lt;=0.01,0,IF(Simulador!$D$22&gt;0,Simulador!$D$22,Simulador!$O$24)*Simulador!$AA$44)),0)</f>
        <v>0</v>
      </c>
      <c r="AQ161" s="90">
        <f t="shared" si="57"/>
        <v>0</v>
      </c>
      <c r="AR161" s="26">
        <f t="shared" si="58"/>
        <v>0</v>
      </c>
      <c r="AS161">
        <f t="shared" si="59"/>
        <v>0</v>
      </c>
      <c r="AT161" s="549">
        <f t="shared" si="60"/>
      </c>
      <c r="AU161" s="404">
        <f t="shared" si="61"/>
        <v>0</v>
      </c>
      <c r="AV161" s="52">
        <v>120</v>
      </c>
      <c r="AW161" s="27"/>
      <c r="AX161" s="424"/>
      <c r="AZ161" s="52"/>
    </row>
    <row r="162" spans="1:52" ht="12.75">
      <c r="A162" s="503">
        <f t="shared" si="62"/>
        <v>148</v>
      </c>
      <c r="B162" s="89">
        <f t="shared" si="45"/>
        <v>0</v>
      </c>
      <c r="C162" s="89"/>
      <c r="D162" s="90">
        <f>IF(B162+F162-D161&lt;=0,B162+F162,IF(AND(OR(Simulador!$U$39=2,Simulador!$U$39=7),J161=0),_xlfn.IFERROR((((P162/360*AU162)/(1-(1+(P162/360*AU162))^-AS162))*B162)*(1+AA162),0),IF($AF$3=2,B162*AJ162,_xlfn.IFERROR((((P162/360*AU162)/(1-(1+(P162/360*AU162))^-AS162))*B162)*(1+AA162),0))))</f>
        <v>0</v>
      </c>
      <c r="E162" s="90"/>
      <c r="F162" s="90">
        <f t="shared" si="63"/>
        <v>0</v>
      </c>
      <c r="G162" s="90"/>
      <c r="H162" s="90">
        <f t="shared" si="64"/>
        <v>0</v>
      </c>
      <c r="I162" s="91"/>
      <c r="J162" s="92"/>
      <c r="K162" s="91"/>
      <c r="L162" s="90">
        <f>IF(Simulador!$T$41=1,0,J162*Simulador!$W$39*1.16)</f>
        <v>0</v>
      </c>
      <c r="M162" s="90"/>
      <c r="N162" s="93">
        <f t="shared" si="65"/>
        <v>0</v>
      </c>
      <c r="O162" s="12"/>
      <c r="P162" s="544">
        <f t="shared" si="66"/>
        <v>0</v>
      </c>
      <c r="Q162" s="4"/>
      <c r="R162" s="90">
        <f t="shared" si="67"/>
        <v>0</v>
      </c>
      <c r="S162" s="90"/>
      <c r="T162" s="90">
        <f>_xlfn.IFERROR(IF(Simulador!$U$30=1,0,IF($B162&lt;=0,0,$B162*Simulador!$AA$43)),0)</f>
        <v>0</v>
      </c>
      <c r="U162" s="90"/>
      <c r="V162" s="90">
        <f>_xlfn.IFERROR(IF(Simulador!$U$30=1,0,IF($B162&lt;=0,0,IF(Simulador!$D$22&gt;0,Simulador!$D$22,Simulador!$O$24)*Simulador!$AA$44)),0)</f>
        <v>0</v>
      </c>
      <c r="W162" s="90"/>
      <c r="X162" s="90"/>
      <c r="Y162" s="90">
        <f t="shared" si="46"/>
        <v>0</v>
      </c>
      <c r="Z162" s="13"/>
      <c r="AA162" s="18"/>
      <c r="AB162" s="23"/>
      <c r="AC162" s="364"/>
      <c r="AD162" s="222">
        <v>12</v>
      </c>
      <c r="AE162" s="219">
        <v>4</v>
      </c>
      <c r="AF162" s="269">
        <f t="shared" si="47"/>
        <v>0</v>
      </c>
      <c r="AG162" s="209">
        <f t="shared" si="48"/>
        <v>0</v>
      </c>
      <c r="AH162" s="209">
        <f t="shared" si="49"/>
        <v>0</v>
      </c>
      <c r="AI162" s="219">
        <f t="shared" si="50"/>
        <v>0</v>
      </c>
      <c r="AJ162" s="425">
        <f t="shared" si="51"/>
        <v>0</v>
      </c>
      <c r="AK162" s="57">
        <f t="shared" si="52"/>
        <v>0</v>
      </c>
      <c r="AL162" s="90">
        <f t="shared" si="53"/>
        <v>0</v>
      </c>
      <c r="AM162" s="58">
        <f t="shared" si="54"/>
        <v>0</v>
      </c>
      <c r="AN162" s="57">
        <f t="shared" si="55"/>
        <v>0</v>
      </c>
      <c r="AO162" s="432">
        <f t="shared" si="56"/>
        <v>0</v>
      </c>
      <c r="AP162" s="90">
        <f>_xlfn.IFERROR(IF(Simulador!$U$30=1,0,IF($AK162&lt;=0.01,0,$AK162*Simulador!$AA$43)),0)+_xlfn.IFERROR(IF(Simulador!$U$30=1,0,IF($AK162&lt;=0.01,0,IF(Simulador!$D$22&gt;0,Simulador!$D$22,Simulador!$O$24)*Simulador!$AA$44)),0)</f>
        <v>0</v>
      </c>
      <c r="AQ162" s="90">
        <f t="shared" si="57"/>
        <v>0</v>
      </c>
      <c r="AR162" s="26">
        <f t="shared" si="58"/>
        <v>0</v>
      </c>
      <c r="AS162">
        <f t="shared" si="59"/>
        <v>0</v>
      </c>
      <c r="AT162" s="549">
        <f t="shared" si="60"/>
      </c>
      <c r="AU162" s="404">
        <f t="shared" si="61"/>
        <v>0</v>
      </c>
      <c r="AV162" s="52">
        <v>120</v>
      </c>
      <c r="AW162" s="27"/>
      <c r="AX162" s="424"/>
      <c r="AZ162" s="52"/>
    </row>
    <row r="163" spans="1:52" ht="12.75">
      <c r="A163" s="503">
        <f t="shared" si="62"/>
        <v>149</v>
      </c>
      <c r="B163" s="89">
        <f t="shared" si="45"/>
        <v>0</v>
      </c>
      <c r="C163" s="89"/>
      <c r="D163" s="90">
        <f>IF(B163+F163-D162&lt;=0,B163+F163,IF(AND(OR(Simulador!$U$39=2,Simulador!$U$39=7),J162=0),_xlfn.IFERROR((((P163/360*AU163)/(1-(1+(P163/360*AU163))^-AS163))*B163)*(1+AA163),0),IF($AF$3=2,B163*AJ163,_xlfn.IFERROR((((P163/360*AU163)/(1-(1+(P163/360*AU163))^-AS163))*B163)*(1+AA163),0))))</f>
        <v>0</v>
      </c>
      <c r="E163" s="90"/>
      <c r="F163" s="90">
        <f t="shared" si="63"/>
        <v>0</v>
      </c>
      <c r="G163" s="90"/>
      <c r="H163" s="90">
        <f t="shared" si="64"/>
        <v>0</v>
      </c>
      <c r="I163" s="91"/>
      <c r="J163" s="92"/>
      <c r="K163" s="91"/>
      <c r="L163" s="90">
        <f>IF(Simulador!$T$41=1,0,J163*Simulador!$W$39*1.16)</f>
        <v>0</v>
      </c>
      <c r="M163" s="90"/>
      <c r="N163" s="93"/>
      <c r="O163" s="12"/>
      <c r="P163" s="544">
        <f t="shared" si="66"/>
        <v>0</v>
      </c>
      <c r="Q163" s="4"/>
      <c r="R163" s="90">
        <f t="shared" si="67"/>
        <v>0</v>
      </c>
      <c r="S163" s="90"/>
      <c r="T163" s="90">
        <f>_xlfn.IFERROR(IF(Simulador!$U$30=1,0,IF($B163&lt;=0,0,$B163*Simulador!$AA$43)),0)</f>
        <v>0</v>
      </c>
      <c r="U163" s="90"/>
      <c r="V163" s="90">
        <f>_xlfn.IFERROR(IF(Simulador!$U$30=1,0,IF($B163&lt;=0,0,IF(Simulador!$D$22&gt;0,Simulador!$D$22,Simulador!$O$24)*Simulador!$AA$44)),0)</f>
        <v>0</v>
      </c>
      <c r="W163" s="90"/>
      <c r="X163" s="90"/>
      <c r="Y163" s="90">
        <f t="shared" si="46"/>
        <v>0</v>
      </c>
      <c r="Z163" s="13"/>
      <c r="AA163" s="18"/>
      <c r="AB163" s="23"/>
      <c r="AC163" s="364"/>
      <c r="AD163" s="222">
        <v>12</v>
      </c>
      <c r="AE163" s="219">
        <v>5</v>
      </c>
      <c r="AF163" s="269">
        <f t="shared" si="47"/>
        <v>0</v>
      </c>
      <c r="AG163" s="209">
        <f t="shared" si="48"/>
        <v>0</v>
      </c>
      <c r="AH163" s="209">
        <f t="shared" si="49"/>
        <v>0</v>
      </c>
      <c r="AI163" s="219">
        <f t="shared" si="50"/>
        <v>0</v>
      </c>
      <c r="AJ163" s="425">
        <f t="shared" si="51"/>
        <v>0</v>
      </c>
      <c r="AK163" s="57">
        <f t="shared" si="52"/>
        <v>0</v>
      </c>
      <c r="AL163" s="90">
        <f t="shared" si="53"/>
        <v>0</v>
      </c>
      <c r="AM163" s="58">
        <f t="shared" si="54"/>
        <v>0</v>
      </c>
      <c r="AN163" s="57">
        <f t="shared" si="55"/>
        <v>0</v>
      </c>
      <c r="AO163" s="432">
        <f t="shared" si="56"/>
        <v>0</v>
      </c>
      <c r="AP163" s="90">
        <f>_xlfn.IFERROR(IF(Simulador!$U$30=1,0,IF($AK163&lt;=0.01,0,$AK163*Simulador!$AA$43)),0)+_xlfn.IFERROR(IF(Simulador!$U$30=1,0,IF($AK163&lt;=0.01,0,IF(Simulador!$D$22&gt;0,Simulador!$D$22,Simulador!$O$24)*Simulador!$AA$44)),0)</f>
        <v>0</v>
      </c>
      <c r="AQ163" s="90">
        <f t="shared" si="57"/>
        <v>0</v>
      </c>
      <c r="AR163" s="26">
        <f t="shared" si="58"/>
        <v>0</v>
      </c>
      <c r="AS163">
        <f t="shared" si="59"/>
        <v>0</v>
      </c>
      <c r="AT163" s="549">
        <f t="shared" si="60"/>
      </c>
      <c r="AU163" s="404">
        <f t="shared" si="61"/>
        <v>0</v>
      </c>
      <c r="AV163" s="52">
        <v>120</v>
      </c>
      <c r="AW163" s="27"/>
      <c r="AX163" s="424"/>
      <c r="AZ163" s="52"/>
    </row>
    <row r="164" spans="1:52" ht="12.75">
      <c r="A164" s="503">
        <f t="shared" si="62"/>
        <v>150</v>
      </c>
      <c r="B164" s="89">
        <f t="shared" si="45"/>
        <v>0</v>
      </c>
      <c r="C164" s="89"/>
      <c r="D164" s="90">
        <f>IF(B164+F164-D163&lt;=0,B164+F164,IF(AND(OR(Simulador!$U$39=2,Simulador!$U$39=7),J163=0),_xlfn.IFERROR((((P164/360*AU164)/(1-(1+(P164/360*AU164))^-AS164))*B164)*(1+AA164),0),IF($AF$3=2,B164*AJ164,_xlfn.IFERROR((((P164/360*AU164)/(1-(1+(P164/360*AU164))^-AS164))*B164)*(1+AA164),0))))</f>
        <v>0</v>
      </c>
      <c r="E164" s="90"/>
      <c r="F164" s="90">
        <f t="shared" si="63"/>
        <v>0</v>
      </c>
      <c r="G164" s="90"/>
      <c r="H164" s="90">
        <f t="shared" si="64"/>
        <v>0</v>
      </c>
      <c r="I164" s="91"/>
      <c r="J164" s="92"/>
      <c r="K164" s="91"/>
      <c r="L164" s="90">
        <f>IF(Simulador!$T$41=1,0,J164*Simulador!$W$39*1.16)</f>
        <v>0</v>
      </c>
      <c r="M164" s="90"/>
      <c r="N164" s="93">
        <f t="shared" si="65"/>
        <v>0</v>
      </c>
      <c r="O164" s="12"/>
      <c r="P164" s="544">
        <f t="shared" si="66"/>
        <v>0</v>
      </c>
      <c r="Q164" s="4"/>
      <c r="R164" s="90">
        <f t="shared" si="67"/>
        <v>0</v>
      </c>
      <c r="S164" s="90"/>
      <c r="T164" s="90">
        <f>_xlfn.IFERROR(IF(Simulador!$U$30=1,0,IF($B164&lt;=0,0,$B164*Simulador!$AA$43)),0)</f>
        <v>0</v>
      </c>
      <c r="U164" s="90"/>
      <c r="V164" s="90">
        <f>_xlfn.IFERROR(IF(Simulador!$U$30=1,0,IF($B164&lt;=0,0,IF(Simulador!$D$22&gt;0,Simulador!$D$22,Simulador!$O$24)*Simulador!$AA$44)),0)</f>
        <v>0</v>
      </c>
      <c r="W164" s="90"/>
      <c r="X164" s="90"/>
      <c r="Y164" s="90">
        <f t="shared" si="46"/>
        <v>0</v>
      </c>
      <c r="Z164" s="13"/>
      <c r="AA164" s="18"/>
      <c r="AB164" s="23"/>
      <c r="AC164" s="364"/>
      <c r="AD164" s="222">
        <v>12</v>
      </c>
      <c r="AE164" s="219">
        <v>6</v>
      </c>
      <c r="AF164" s="269">
        <f t="shared" si="47"/>
        <v>0</v>
      </c>
      <c r="AG164" s="209">
        <f t="shared" si="48"/>
        <v>0</v>
      </c>
      <c r="AH164" s="209">
        <f t="shared" si="49"/>
        <v>0</v>
      </c>
      <c r="AI164" s="219">
        <f t="shared" si="50"/>
        <v>0</v>
      </c>
      <c r="AJ164" s="425">
        <f t="shared" si="51"/>
        <v>0</v>
      </c>
      <c r="AK164" s="57">
        <f t="shared" si="52"/>
        <v>0</v>
      </c>
      <c r="AL164" s="90">
        <f t="shared" si="53"/>
        <v>0</v>
      </c>
      <c r="AM164" s="58">
        <f t="shared" si="54"/>
        <v>0</v>
      </c>
      <c r="AN164" s="57">
        <f t="shared" si="55"/>
        <v>0</v>
      </c>
      <c r="AO164" s="432">
        <f t="shared" si="56"/>
        <v>0</v>
      </c>
      <c r="AP164" s="90">
        <f>_xlfn.IFERROR(IF(Simulador!$U$30=1,0,IF($AK164&lt;=0.01,0,$AK164*Simulador!$AA$43)),0)+_xlfn.IFERROR(IF(Simulador!$U$30=1,0,IF($AK164&lt;=0.01,0,IF(Simulador!$D$22&gt;0,Simulador!$D$22,Simulador!$O$24)*Simulador!$AA$44)),0)</f>
        <v>0</v>
      </c>
      <c r="AQ164" s="90">
        <f t="shared" si="57"/>
        <v>0</v>
      </c>
      <c r="AR164" s="26">
        <f t="shared" si="58"/>
        <v>0</v>
      </c>
      <c r="AS164">
        <f t="shared" si="59"/>
        <v>0</v>
      </c>
      <c r="AT164" s="549">
        <f t="shared" si="60"/>
      </c>
      <c r="AU164" s="404">
        <f t="shared" si="61"/>
        <v>0</v>
      </c>
      <c r="AV164" s="52">
        <v>120</v>
      </c>
      <c r="AW164" s="27"/>
      <c r="AX164" s="424"/>
      <c r="AZ164" s="52"/>
    </row>
    <row r="165" spans="1:52" ht="12.75">
      <c r="A165" s="503">
        <f t="shared" si="62"/>
        <v>151</v>
      </c>
      <c r="B165" s="89">
        <f t="shared" si="45"/>
        <v>0</v>
      </c>
      <c r="C165" s="89"/>
      <c r="D165" s="90">
        <f>IF(B165+F165-D164&lt;=0,B165+F165,IF(AND(OR(Simulador!$U$39=2,Simulador!$U$39=7),J164=0),_xlfn.IFERROR((((P165/360*AU165)/(1-(1+(P165/360*AU165))^-AS165))*B165)*(1+AA165),0),IF($AF$3=2,B165*AJ165,_xlfn.IFERROR((((P165/360*AU165)/(1-(1+(P165/360*AU165))^-AS165))*B165)*(1+AA165),0))))</f>
        <v>0</v>
      </c>
      <c r="E165" s="90"/>
      <c r="F165" s="90">
        <f t="shared" si="63"/>
        <v>0</v>
      </c>
      <c r="G165" s="90"/>
      <c r="H165" s="90">
        <f t="shared" si="64"/>
        <v>0</v>
      </c>
      <c r="I165" s="91"/>
      <c r="J165" s="92"/>
      <c r="K165" s="91"/>
      <c r="L165" s="90">
        <f>IF(Simulador!$T$41=1,0,J165*Simulador!$W$39*1.16)</f>
        <v>0</v>
      </c>
      <c r="M165" s="90"/>
      <c r="N165" s="93"/>
      <c r="O165" s="12"/>
      <c r="P165" s="544">
        <f t="shared" si="66"/>
        <v>0</v>
      </c>
      <c r="Q165" s="4"/>
      <c r="R165" s="90">
        <f t="shared" si="67"/>
        <v>0</v>
      </c>
      <c r="S165" s="90"/>
      <c r="T165" s="90">
        <f>_xlfn.IFERROR(IF(Simulador!$U$30=1,0,IF($B165&lt;=0,0,$B165*Simulador!$AA$43)),0)</f>
        <v>0</v>
      </c>
      <c r="U165" s="90"/>
      <c r="V165" s="90">
        <f>_xlfn.IFERROR(IF(Simulador!$U$30=1,0,IF($B165&lt;=0,0,IF(Simulador!$D$22&gt;0,Simulador!$D$22,Simulador!$O$24)*Simulador!$AA$44)),0)</f>
        <v>0</v>
      </c>
      <c r="W165" s="90"/>
      <c r="X165" s="90"/>
      <c r="Y165" s="90">
        <f t="shared" si="46"/>
        <v>0</v>
      </c>
      <c r="Z165" s="13"/>
      <c r="AA165" s="18"/>
      <c r="AB165" s="23"/>
      <c r="AC165" s="364"/>
      <c r="AD165" s="222">
        <v>12</v>
      </c>
      <c r="AE165" s="219">
        <v>7</v>
      </c>
      <c r="AF165" s="269">
        <f t="shared" si="47"/>
        <v>0</v>
      </c>
      <c r="AG165" s="209">
        <f t="shared" si="48"/>
        <v>0</v>
      </c>
      <c r="AH165" s="209">
        <f t="shared" si="49"/>
        <v>0</v>
      </c>
      <c r="AI165" s="219">
        <f t="shared" si="50"/>
        <v>0</v>
      </c>
      <c r="AJ165" s="425">
        <f t="shared" si="51"/>
        <v>0</v>
      </c>
      <c r="AK165" s="57">
        <f t="shared" si="52"/>
        <v>0</v>
      </c>
      <c r="AL165" s="90">
        <f t="shared" si="53"/>
        <v>0</v>
      </c>
      <c r="AM165" s="58">
        <f t="shared" si="54"/>
        <v>0</v>
      </c>
      <c r="AN165" s="57">
        <f t="shared" si="55"/>
        <v>0</v>
      </c>
      <c r="AO165" s="432">
        <f t="shared" si="56"/>
        <v>0</v>
      </c>
      <c r="AP165" s="90">
        <f>_xlfn.IFERROR(IF(Simulador!$U$30=1,0,IF($AK165&lt;=0.01,0,$AK165*Simulador!$AA$43)),0)+_xlfn.IFERROR(IF(Simulador!$U$30=1,0,IF($AK165&lt;=0.01,0,IF(Simulador!$D$22&gt;0,Simulador!$D$22,Simulador!$O$24)*Simulador!$AA$44)),0)</f>
        <v>0</v>
      </c>
      <c r="AQ165" s="90">
        <f t="shared" si="57"/>
        <v>0</v>
      </c>
      <c r="AR165" s="26">
        <f t="shared" si="58"/>
        <v>0</v>
      </c>
      <c r="AS165">
        <f t="shared" si="59"/>
        <v>0</v>
      </c>
      <c r="AT165" s="549">
        <f t="shared" si="60"/>
      </c>
      <c r="AU165" s="404">
        <f t="shared" si="61"/>
        <v>0</v>
      </c>
      <c r="AV165" s="52">
        <v>120</v>
      </c>
      <c r="AW165" s="27"/>
      <c r="AX165" s="424"/>
      <c r="AZ165" s="52"/>
    </row>
    <row r="166" spans="1:52" ht="12.75">
      <c r="A166" s="503">
        <f t="shared" si="62"/>
        <v>152</v>
      </c>
      <c r="B166" s="89">
        <f t="shared" si="45"/>
        <v>0</v>
      </c>
      <c r="C166" s="89"/>
      <c r="D166" s="90">
        <f>IF(B166+F166-D165&lt;=0,B166+F166,IF(AND(OR(Simulador!$U$39=2,Simulador!$U$39=7),J165=0),_xlfn.IFERROR((((P166/360*AU166)/(1-(1+(P166/360*AU166))^-AS166))*B166)*(1+AA166),0),IF($AF$3=2,B166*AJ166,_xlfn.IFERROR((((P166/360*AU166)/(1-(1+(P166/360*AU166))^-AS166))*B166)*(1+AA166),0))))</f>
        <v>0</v>
      </c>
      <c r="E166" s="90"/>
      <c r="F166" s="90">
        <f t="shared" si="63"/>
        <v>0</v>
      </c>
      <c r="G166" s="90"/>
      <c r="H166" s="90">
        <f t="shared" si="64"/>
        <v>0</v>
      </c>
      <c r="I166" s="91"/>
      <c r="J166" s="92"/>
      <c r="K166" s="91"/>
      <c r="L166" s="90">
        <f>IF(Simulador!$T$41=1,0,J166*Simulador!$W$39*1.16)</f>
        <v>0</v>
      </c>
      <c r="M166" s="90"/>
      <c r="N166" s="93">
        <f t="shared" si="65"/>
        <v>0</v>
      </c>
      <c r="O166" s="12"/>
      <c r="P166" s="544">
        <f t="shared" si="66"/>
        <v>0</v>
      </c>
      <c r="Q166" s="4"/>
      <c r="R166" s="90">
        <f t="shared" si="67"/>
        <v>0</v>
      </c>
      <c r="S166" s="90"/>
      <c r="T166" s="90">
        <f>_xlfn.IFERROR(IF(Simulador!$U$30=1,0,IF($B166&lt;=0,0,$B166*Simulador!$AA$43)),0)</f>
        <v>0</v>
      </c>
      <c r="U166" s="90"/>
      <c r="V166" s="90">
        <f>_xlfn.IFERROR(IF(Simulador!$U$30=1,0,IF($B166&lt;=0,0,IF(Simulador!$D$22&gt;0,Simulador!$D$22,Simulador!$O$24)*Simulador!$AA$44)),0)</f>
        <v>0</v>
      </c>
      <c r="W166" s="90"/>
      <c r="X166" s="90"/>
      <c r="Y166" s="90">
        <f t="shared" si="46"/>
        <v>0</v>
      </c>
      <c r="Z166" s="13"/>
      <c r="AA166" s="18"/>
      <c r="AB166" s="23"/>
      <c r="AC166" s="364"/>
      <c r="AD166" s="222">
        <v>12</v>
      </c>
      <c r="AE166" s="219">
        <v>8</v>
      </c>
      <c r="AF166" s="269">
        <f t="shared" si="47"/>
        <v>0</v>
      </c>
      <c r="AG166" s="209">
        <f t="shared" si="48"/>
        <v>0</v>
      </c>
      <c r="AH166" s="209">
        <f t="shared" si="49"/>
        <v>0</v>
      </c>
      <c r="AI166" s="219">
        <f t="shared" si="50"/>
        <v>0</v>
      </c>
      <c r="AJ166" s="425">
        <f t="shared" si="51"/>
        <v>0</v>
      </c>
      <c r="AK166" s="57">
        <f t="shared" si="52"/>
        <v>0</v>
      </c>
      <c r="AL166" s="90">
        <f t="shared" si="53"/>
        <v>0</v>
      </c>
      <c r="AM166" s="58">
        <f t="shared" si="54"/>
        <v>0</v>
      </c>
      <c r="AN166" s="57">
        <f t="shared" si="55"/>
        <v>0</v>
      </c>
      <c r="AO166" s="432">
        <f t="shared" si="56"/>
        <v>0</v>
      </c>
      <c r="AP166" s="90">
        <f>_xlfn.IFERROR(IF(Simulador!$U$30=1,0,IF($AK166&lt;=0.01,0,$AK166*Simulador!$AA$43)),0)+_xlfn.IFERROR(IF(Simulador!$U$30=1,0,IF($AK166&lt;=0.01,0,IF(Simulador!$D$22&gt;0,Simulador!$D$22,Simulador!$O$24)*Simulador!$AA$44)),0)</f>
        <v>0</v>
      </c>
      <c r="AQ166" s="90">
        <f t="shared" si="57"/>
        <v>0</v>
      </c>
      <c r="AR166" s="26">
        <f t="shared" si="58"/>
        <v>0</v>
      </c>
      <c r="AS166">
        <f t="shared" si="59"/>
        <v>0</v>
      </c>
      <c r="AT166" s="549">
        <f t="shared" si="60"/>
      </c>
      <c r="AU166" s="404">
        <f t="shared" si="61"/>
        <v>0</v>
      </c>
      <c r="AV166" s="52">
        <v>120</v>
      </c>
      <c r="AW166" s="27"/>
      <c r="AX166" s="424"/>
      <c r="AZ166" s="52"/>
    </row>
    <row r="167" spans="1:52" ht="12.75">
      <c r="A167" s="503">
        <f t="shared" si="62"/>
        <v>153</v>
      </c>
      <c r="B167" s="89">
        <f t="shared" si="45"/>
        <v>0</v>
      </c>
      <c r="C167" s="89"/>
      <c r="D167" s="90">
        <f>IF(B167+F167-D166&lt;=0,B167+F167,IF(AND(OR(Simulador!$U$39=2,Simulador!$U$39=7),J166=0),_xlfn.IFERROR((((P167/360*AU167)/(1-(1+(P167/360*AU167))^-AS167))*B167)*(1+AA167),0),IF($AF$3=2,B167*AJ167,_xlfn.IFERROR((((P167/360*AU167)/(1-(1+(P167/360*AU167))^-AS167))*B167)*(1+AA167),0))))</f>
        <v>0</v>
      </c>
      <c r="E167" s="90"/>
      <c r="F167" s="90">
        <f t="shared" si="63"/>
        <v>0</v>
      </c>
      <c r="G167" s="90"/>
      <c r="H167" s="90">
        <f t="shared" si="64"/>
        <v>0</v>
      </c>
      <c r="I167" s="91"/>
      <c r="J167" s="92"/>
      <c r="K167" s="91"/>
      <c r="L167" s="90">
        <f>IF(Simulador!$T$41=1,0,J167*Simulador!$W$39*1.16)</f>
        <v>0</v>
      </c>
      <c r="M167" s="90"/>
      <c r="N167" s="93"/>
      <c r="O167" s="12"/>
      <c r="P167" s="544">
        <f t="shared" si="66"/>
        <v>0</v>
      </c>
      <c r="Q167" s="4"/>
      <c r="R167" s="90">
        <f t="shared" si="67"/>
        <v>0</v>
      </c>
      <c r="S167" s="90"/>
      <c r="T167" s="90">
        <f>_xlfn.IFERROR(IF(Simulador!$U$30=1,0,IF($B167&lt;=0,0,$B167*Simulador!$AA$43)),0)</f>
        <v>0</v>
      </c>
      <c r="U167" s="90"/>
      <c r="V167" s="90">
        <f>_xlfn.IFERROR(IF(Simulador!$U$30=1,0,IF($B167&lt;=0,0,IF(Simulador!$D$22&gt;0,Simulador!$D$22,Simulador!$O$24)*Simulador!$AA$44)),0)</f>
        <v>0</v>
      </c>
      <c r="W167" s="90"/>
      <c r="X167" s="90"/>
      <c r="Y167" s="90">
        <f t="shared" si="46"/>
        <v>0</v>
      </c>
      <c r="Z167" s="13"/>
      <c r="AA167" s="18"/>
      <c r="AB167" s="23"/>
      <c r="AC167" s="364"/>
      <c r="AD167" s="222">
        <v>12</v>
      </c>
      <c r="AE167" s="221">
        <v>9</v>
      </c>
      <c r="AF167" s="269">
        <f t="shared" si="47"/>
        <v>0</v>
      </c>
      <c r="AG167" s="209">
        <f t="shared" si="48"/>
        <v>0</v>
      </c>
      <c r="AH167" s="209">
        <f t="shared" si="49"/>
        <v>0</v>
      </c>
      <c r="AI167" s="219">
        <f t="shared" si="50"/>
        <v>0</v>
      </c>
      <c r="AJ167" s="425">
        <f t="shared" si="51"/>
        <v>0</v>
      </c>
      <c r="AK167" s="57">
        <f t="shared" si="52"/>
        <v>0</v>
      </c>
      <c r="AL167" s="90">
        <f t="shared" si="53"/>
        <v>0</v>
      </c>
      <c r="AM167" s="58">
        <f t="shared" si="54"/>
        <v>0</v>
      </c>
      <c r="AN167" s="57">
        <f t="shared" si="55"/>
        <v>0</v>
      </c>
      <c r="AO167" s="432">
        <f t="shared" si="56"/>
        <v>0</v>
      </c>
      <c r="AP167" s="90">
        <f>_xlfn.IFERROR(IF(Simulador!$U$30=1,0,IF($AK167&lt;=0.01,0,$AK167*Simulador!$AA$43)),0)+_xlfn.IFERROR(IF(Simulador!$U$30=1,0,IF($AK167&lt;=0.01,0,IF(Simulador!$D$22&gt;0,Simulador!$D$22,Simulador!$O$24)*Simulador!$AA$44)),0)</f>
        <v>0</v>
      </c>
      <c r="AQ167" s="90">
        <f t="shared" si="57"/>
        <v>0</v>
      </c>
      <c r="AR167" s="26">
        <f t="shared" si="58"/>
        <v>0</v>
      </c>
      <c r="AS167">
        <f t="shared" si="59"/>
        <v>0</v>
      </c>
      <c r="AT167" s="549">
        <f t="shared" si="60"/>
      </c>
      <c r="AU167" s="404">
        <f t="shared" si="61"/>
        <v>0</v>
      </c>
      <c r="AV167" s="52">
        <v>120</v>
      </c>
      <c r="AW167" s="27"/>
      <c r="AX167" s="424"/>
      <c r="AZ167" s="52"/>
    </row>
    <row r="168" spans="1:52" ht="12.75">
      <c r="A168" s="503">
        <f t="shared" si="62"/>
        <v>154</v>
      </c>
      <c r="B168" s="89">
        <f t="shared" si="45"/>
        <v>0</v>
      </c>
      <c r="C168" s="89"/>
      <c r="D168" s="90">
        <f>IF(B168+F168-D167&lt;=0,B168+F168,IF(AND(OR(Simulador!$U$39=2,Simulador!$U$39=7),J167=0),_xlfn.IFERROR((((P168/360*AU168)/(1-(1+(P168/360*AU168))^-AS168))*B168)*(1+AA168),0),IF($AF$3=2,B168*AJ168,_xlfn.IFERROR((((P168/360*AU168)/(1-(1+(P168/360*AU168))^-AS168))*B168)*(1+AA168),0))))</f>
        <v>0</v>
      </c>
      <c r="E168" s="90"/>
      <c r="F168" s="90">
        <f t="shared" si="63"/>
        <v>0</v>
      </c>
      <c r="G168" s="90"/>
      <c r="H168" s="90">
        <f t="shared" si="64"/>
        <v>0</v>
      </c>
      <c r="I168" s="91"/>
      <c r="J168" s="92"/>
      <c r="K168" s="91"/>
      <c r="L168" s="90">
        <f>IF(Simulador!$T$41=1,0,J168*Simulador!$W$39*1.16)</f>
        <v>0</v>
      </c>
      <c r="M168" s="90"/>
      <c r="N168" s="93">
        <f t="shared" si="65"/>
        <v>0</v>
      </c>
      <c r="O168" s="12"/>
      <c r="P168" s="544">
        <f t="shared" si="66"/>
        <v>0</v>
      </c>
      <c r="Q168" s="4"/>
      <c r="R168" s="90">
        <f t="shared" si="67"/>
        <v>0</v>
      </c>
      <c r="S168" s="90"/>
      <c r="T168" s="90">
        <f>_xlfn.IFERROR(IF(Simulador!$U$30=1,0,IF($B168&lt;=0,0,$B168*Simulador!$AA$43)),0)</f>
        <v>0</v>
      </c>
      <c r="U168" s="90"/>
      <c r="V168" s="90">
        <f>_xlfn.IFERROR(IF(Simulador!$U$30=1,0,IF($B168&lt;=0,0,IF(Simulador!$D$22&gt;0,Simulador!$D$22,Simulador!$O$24)*Simulador!$AA$44)),0)</f>
        <v>0</v>
      </c>
      <c r="W168" s="90"/>
      <c r="X168" s="90"/>
      <c r="Y168" s="90">
        <f t="shared" si="46"/>
        <v>0</v>
      </c>
      <c r="Z168" s="13"/>
      <c r="AA168" s="18"/>
      <c r="AB168" s="23"/>
      <c r="AC168" s="364"/>
      <c r="AD168" s="222">
        <v>12</v>
      </c>
      <c r="AE168" s="221">
        <v>10</v>
      </c>
      <c r="AF168" s="269">
        <f t="shared" si="47"/>
        <v>0</v>
      </c>
      <c r="AG168" s="209">
        <f t="shared" si="48"/>
        <v>0</v>
      </c>
      <c r="AH168" s="209">
        <f t="shared" si="49"/>
        <v>0</v>
      </c>
      <c r="AI168" s="219">
        <f t="shared" si="50"/>
        <v>0</v>
      </c>
      <c r="AJ168" s="425">
        <f t="shared" si="51"/>
        <v>0</v>
      </c>
      <c r="AK168" s="57">
        <f t="shared" si="52"/>
        <v>0</v>
      </c>
      <c r="AL168" s="90">
        <f t="shared" si="53"/>
        <v>0</v>
      </c>
      <c r="AM168" s="58">
        <f t="shared" si="54"/>
        <v>0</v>
      </c>
      <c r="AN168" s="57">
        <f t="shared" si="55"/>
        <v>0</v>
      </c>
      <c r="AO168" s="432">
        <f t="shared" si="56"/>
        <v>0</v>
      </c>
      <c r="AP168" s="90">
        <f>_xlfn.IFERROR(IF(Simulador!$U$30=1,0,IF($AK168&lt;=0.01,0,$AK168*Simulador!$AA$43)),0)+_xlfn.IFERROR(IF(Simulador!$U$30=1,0,IF($AK168&lt;=0.01,0,IF(Simulador!$D$22&gt;0,Simulador!$D$22,Simulador!$O$24)*Simulador!$AA$44)),0)</f>
        <v>0</v>
      </c>
      <c r="AQ168" s="90">
        <f t="shared" si="57"/>
        <v>0</v>
      </c>
      <c r="AR168" s="26">
        <f t="shared" si="58"/>
        <v>0</v>
      </c>
      <c r="AS168">
        <f t="shared" si="59"/>
        <v>0</v>
      </c>
      <c r="AT168" s="549">
        <f t="shared" si="60"/>
      </c>
      <c r="AU168" s="404">
        <f t="shared" si="61"/>
        <v>0</v>
      </c>
      <c r="AV168" s="52">
        <v>120</v>
      </c>
      <c r="AW168" s="27"/>
      <c r="AX168" s="424"/>
      <c r="AZ168" s="52"/>
    </row>
    <row r="169" spans="1:52" ht="12.75">
      <c r="A169" s="503">
        <f t="shared" si="62"/>
        <v>155</v>
      </c>
      <c r="B169" s="89">
        <f t="shared" si="45"/>
        <v>0</v>
      </c>
      <c r="C169" s="89"/>
      <c r="D169" s="90">
        <f>IF(B169+F169-D168&lt;=0,B169+F169,IF(AND(OR(Simulador!$U$39=2,Simulador!$U$39=7),J168=0),_xlfn.IFERROR((((P169/360*AU169)/(1-(1+(P169/360*AU169))^-AS169))*B169)*(1+AA169),0),IF($AF$3=2,B169*AJ169,_xlfn.IFERROR((((P169/360*AU169)/(1-(1+(P169/360*AU169))^-AS169))*B169)*(1+AA169),0))))</f>
        <v>0</v>
      </c>
      <c r="E169" s="90"/>
      <c r="F169" s="90">
        <f t="shared" si="63"/>
        <v>0</v>
      </c>
      <c r="G169" s="90"/>
      <c r="H169" s="90">
        <f t="shared" si="64"/>
        <v>0</v>
      </c>
      <c r="I169" s="91"/>
      <c r="J169" s="92"/>
      <c r="K169" s="91"/>
      <c r="L169" s="90">
        <f>IF(Simulador!$T$41=1,0,J169*Simulador!$W$39*1.16)</f>
        <v>0</v>
      </c>
      <c r="M169" s="90"/>
      <c r="N169" s="93"/>
      <c r="O169" s="12"/>
      <c r="P169" s="544">
        <f t="shared" si="66"/>
        <v>0</v>
      </c>
      <c r="Q169" s="4"/>
      <c r="R169" s="90">
        <f t="shared" si="67"/>
        <v>0</v>
      </c>
      <c r="S169" s="90"/>
      <c r="T169" s="90">
        <f>_xlfn.IFERROR(IF(Simulador!$U$30=1,0,IF($B169&lt;=0,0,$B169*Simulador!$AA$43)),0)</f>
        <v>0</v>
      </c>
      <c r="U169" s="90"/>
      <c r="V169" s="90">
        <f>_xlfn.IFERROR(IF(Simulador!$U$30=1,0,IF($B169&lt;=0,0,IF(Simulador!$D$22&gt;0,Simulador!$D$22,Simulador!$O$24)*Simulador!$AA$44)),0)</f>
        <v>0</v>
      </c>
      <c r="W169" s="90"/>
      <c r="X169" s="90"/>
      <c r="Y169" s="90">
        <f t="shared" si="46"/>
        <v>0</v>
      </c>
      <c r="Z169" s="13"/>
      <c r="AA169" s="18"/>
      <c r="AB169" s="23"/>
      <c r="AC169" s="364"/>
      <c r="AD169" s="222">
        <v>12</v>
      </c>
      <c r="AE169" s="219">
        <v>11</v>
      </c>
      <c r="AF169" s="269">
        <f t="shared" si="47"/>
        <v>0</v>
      </c>
      <c r="AG169" s="209">
        <f t="shared" si="48"/>
        <v>0</v>
      </c>
      <c r="AH169" s="209">
        <f t="shared" si="49"/>
        <v>0</v>
      </c>
      <c r="AI169" s="219">
        <f t="shared" si="50"/>
        <v>0</v>
      </c>
      <c r="AJ169" s="425">
        <f t="shared" si="51"/>
        <v>0</v>
      </c>
      <c r="AK169" s="57">
        <f t="shared" si="52"/>
        <v>0</v>
      </c>
      <c r="AL169" s="90">
        <f t="shared" si="53"/>
        <v>0</v>
      </c>
      <c r="AM169" s="58">
        <f t="shared" si="54"/>
        <v>0</v>
      </c>
      <c r="AN169" s="57">
        <f t="shared" si="55"/>
        <v>0</v>
      </c>
      <c r="AO169" s="432">
        <f t="shared" si="56"/>
        <v>0</v>
      </c>
      <c r="AP169" s="90">
        <f>_xlfn.IFERROR(IF(Simulador!$U$30=1,0,IF($AK169&lt;=0.01,0,$AK169*Simulador!$AA$43)),0)+_xlfn.IFERROR(IF(Simulador!$U$30=1,0,IF($AK169&lt;=0.01,0,IF(Simulador!$D$22&gt;0,Simulador!$D$22,Simulador!$O$24)*Simulador!$AA$44)),0)</f>
        <v>0</v>
      </c>
      <c r="AQ169" s="90">
        <f t="shared" si="57"/>
        <v>0</v>
      </c>
      <c r="AR169" s="26">
        <f t="shared" si="58"/>
        <v>0</v>
      </c>
      <c r="AS169">
        <f t="shared" si="59"/>
        <v>0</v>
      </c>
      <c r="AT169" s="549">
        <f t="shared" si="60"/>
      </c>
      <c r="AU169" s="404">
        <f t="shared" si="61"/>
        <v>0</v>
      </c>
      <c r="AV169" s="52">
        <v>120</v>
      </c>
      <c r="AW169" s="27"/>
      <c r="AX169" s="424"/>
      <c r="AZ169" s="52"/>
    </row>
    <row r="170" spans="1:52" ht="12.75">
      <c r="A170" s="503">
        <f t="shared" si="62"/>
        <v>156</v>
      </c>
      <c r="B170" s="89">
        <f t="shared" si="45"/>
        <v>0</v>
      </c>
      <c r="C170" s="89"/>
      <c r="D170" s="90">
        <f>IF(B170+F170-D169&lt;=0,B170+F170,IF(AND(OR(Simulador!$U$39=2,Simulador!$U$39=7),J169=0),_xlfn.IFERROR((((P170/360*AU170)/(1-(1+(P170/360*AU170))^-AS170))*B170)*(1+AA170),0),IF($AF$3=2,B170*AJ170,_xlfn.IFERROR((((P170/360*AU170)/(1-(1+(P170/360*AU170))^-AS170))*B170)*(1+AA170),0))))</f>
        <v>0</v>
      </c>
      <c r="E170" s="90"/>
      <c r="F170" s="90">
        <f t="shared" si="63"/>
        <v>0</v>
      </c>
      <c r="G170" s="90"/>
      <c r="H170" s="90">
        <f t="shared" si="64"/>
        <v>0</v>
      </c>
      <c r="I170" s="91"/>
      <c r="J170" s="92"/>
      <c r="K170" s="91"/>
      <c r="L170" s="90">
        <f>IF(Simulador!$T$41=1,0,J170*Simulador!$W$39*1.16)</f>
        <v>0</v>
      </c>
      <c r="M170" s="90"/>
      <c r="N170" s="93">
        <f t="shared" si="65"/>
        <v>0</v>
      </c>
      <c r="O170" s="12"/>
      <c r="P170" s="544">
        <f t="shared" si="66"/>
        <v>0</v>
      </c>
      <c r="Q170" s="4"/>
      <c r="R170" s="90">
        <f t="shared" si="67"/>
        <v>0</v>
      </c>
      <c r="S170" s="90"/>
      <c r="T170" s="90">
        <f>_xlfn.IFERROR(IF(Simulador!$U$30=1,0,IF($B170&lt;=0,0,$B170*Simulador!$AA$43)),0)</f>
        <v>0</v>
      </c>
      <c r="U170" s="90"/>
      <c r="V170" s="90">
        <f>_xlfn.IFERROR(IF(Simulador!$U$30=1,0,IF($B170&lt;=0,0,IF(Simulador!$D$22&gt;0,Simulador!$D$22,Simulador!$O$24)*Simulador!$AA$44)),0)</f>
        <v>0</v>
      </c>
      <c r="W170" s="90"/>
      <c r="X170" s="90"/>
      <c r="Y170" s="90">
        <f t="shared" si="46"/>
        <v>0</v>
      </c>
      <c r="Z170" s="13"/>
      <c r="AA170" s="18"/>
      <c r="AB170" s="23"/>
      <c r="AC170" s="364"/>
      <c r="AD170" s="222">
        <v>13</v>
      </c>
      <c r="AE170" s="219">
        <v>0</v>
      </c>
      <c r="AF170" s="269">
        <f t="shared" si="47"/>
        <v>0</v>
      </c>
      <c r="AG170" s="209">
        <f t="shared" si="48"/>
        <v>0</v>
      </c>
      <c r="AH170" s="209">
        <f t="shared" si="49"/>
        <v>0</v>
      </c>
      <c r="AI170" s="219">
        <f t="shared" si="50"/>
        <v>0</v>
      </c>
      <c r="AJ170" s="425">
        <f t="shared" si="51"/>
        <v>0</v>
      </c>
      <c r="AK170" s="57">
        <f t="shared" si="52"/>
        <v>0</v>
      </c>
      <c r="AL170" s="90">
        <f t="shared" si="53"/>
        <v>0</v>
      </c>
      <c r="AM170" s="58">
        <f t="shared" si="54"/>
        <v>0</v>
      </c>
      <c r="AN170" s="57">
        <f t="shared" si="55"/>
        <v>0</v>
      </c>
      <c r="AO170" s="432">
        <f t="shared" si="56"/>
        <v>0</v>
      </c>
      <c r="AP170" s="90">
        <f>_xlfn.IFERROR(IF(Simulador!$U$30=1,0,IF($AK170&lt;=0.01,0,$AK170*Simulador!$AA$43)),0)+_xlfn.IFERROR(IF(Simulador!$U$30=1,0,IF($AK170&lt;=0.01,0,IF(Simulador!$D$22&gt;0,Simulador!$D$22,Simulador!$O$24)*Simulador!$AA$44)),0)</f>
        <v>0</v>
      </c>
      <c r="AQ170" s="90">
        <f t="shared" si="57"/>
        <v>0</v>
      </c>
      <c r="AR170" s="26">
        <f t="shared" si="58"/>
        <v>0</v>
      </c>
      <c r="AS170">
        <f t="shared" si="59"/>
        <v>0</v>
      </c>
      <c r="AT170" s="549">
        <f t="shared" si="60"/>
      </c>
      <c r="AU170" s="404">
        <f t="shared" si="61"/>
        <v>0</v>
      </c>
      <c r="AV170" s="52">
        <v>120</v>
      </c>
      <c r="AW170" s="27"/>
      <c r="AX170" s="424"/>
      <c r="AZ170" s="52"/>
    </row>
    <row r="171" spans="1:52" ht="12.75">
      <c r="A171" s="503">
        <f t="shared" si="62"/>
        <v>157</v>
      </c>
      <c r="B171" s="89">
        <f t="shared" si="45"/>
        <v>0</v>
      </c>
      <c r="C171" s="89"/>
      <c r="D171" s="90">
        <f>IF(B171+F171-D170&lt;=0,B171+F171,IF(AND(OR(Simulador!$U$39=2,Simulador!$U$39=7),J170=0),_xlfn.IFERROR((((P171/360*AU171)/(1-(1+(P171/360*AU171))^-AS171))*B171)*(1+AA171),0),IF($AF$3=2,B171*AJ171,_xlfn.IFERROR((((P171/360*AU171)/(1-(1+(P171/360*AU171))^-AS171))*B171)*(1+AA171),0))))</f>
        <v>0</v>
      </c>
      <c r="E171" s="90"/>
      <c r="F171" s="90">
        <f t="shared" si="63"/>
        <v>0</v>
      </c>
      <c r="G171" s="90"/>
      <c r="H171" s="90">
        <f t="shared" si="64"/>
        <v>0</v>
      </c>
      <c r="I171" s="91"/>
      <c r="J171" s="92"/>
      <c r="K171" s="91"/>
      <c r="L171" s="90">
        <f>IF(Simulador!$T$41=1,0,J171*Simulador!$W$39*1.16)</f>
        <v>0</v>
      </c>
      <c r="M171" s="90"/>
      <c r="N171" s="93"/>
      <c r="O171" s="12"/>
      <c r="P171" s="544">
        <f t="shared" si="66"/>
        <v>0</v>
      </c>
      <c r="Q171" s="4"/>
      <c r="R171" s="90">
        <f t="shared" si="67"/>
        <v>0</v>
      </c>
      <c r="S171" s="90"/>
      <c r="T171" s="90">
        <f>_xlfn.IFERROR(IF(Simulador!$U$30=1,0,IF($B171&lt;=0,0,$B171*Simulador!$AA$43)),0)</f>
        <v>0</v>
      </c>
      <c r="U171" s="90"/>
      <c r="V171" s="90">
        <f>_xlfn.IFERROR(IF(Simulador!$U$30=1,0,IF($B171&lt;=0,0,IF(Simulador!$D$22&gt;0,Simulador!$D$22,Simulador!$O$24)*Simulador!$AA$44)),0)</f>
        <v>0</v>
      </c>
      <c r="W171" s="90"/>
      <c r="X171" s="90"/>
      <c r="Y171" s="90">
        <f t="shared" si="46"/>
        <v>0</v>
      </c>
      <c r="Z171" s="13"/>
      <c r="AA171" s="18"/>
      <c r="AB171" s="23"/>
      <c r="AC171" s="364"/>
      <c r="AD171" s="222">
        <v>13</v>
      </c>
      <c r="AE171" s="219">
        <v>1</v>
      </c>
      <c r="AF171" s="269">
        <f t="shared" si="47"/>
        <v>0</v>
      </c>
      <c r="AG171" s="209">
        <f t="shared" si="48"/>
        <v>0</v>
      </c>
      <c r="AH171" s="209">
        <f t="shared" si="49"/>
        <v>0</v>
      </c>
      <c r="AI171" s="219">
        <f t="shared" si="50"/>
        <v>0</v>
      </c>
      <c r="AJ171" s="425">
        <f t="shared" si="51"/>
        <v>0</v>
      </c>
      <c r="AK171" s="57">
        <f t="shared" si="52"/>
        <v>0</v>
      </c>
      <c r="AL171" s="90">
        <f t="shared" si="53"/>
        <v>0</v>
      </c>
      <c r="AM171" s="58">
        <f t="shared" si="54"/>
        <v>0</v>
      </c>
      <c r="AN171" s="57">
        <f t="shared" si="55"/>
        <v>0</v>
      </c>
      <c r="AO171" s="432">
        <f t="shared" si="56"/>
        <v>0</v>
      </c>
      <c r="AP171" s="90">
        <f>_xlfn.IFERROR(IF(Simulador!$U$30=1,0,IF($AK171&lt;=0.01,0,$AK171*Simulador!$AA$43)),0)+_xlfn.IFERROR(IF(Simulador!$U$30=1,0,IF($AK171&lt;=0.01,0,IF(Simulador!$D$22&gt;0,Simulador!$D$22,Simulador!$O$24)*Simulador!$AA$44)),0)</f>
        <v>0</v>
      </c>
      <c r="AQ171" s="90">
        <f t="shared" si="57"/>
        <v>0</v>
      </c>
      <c r="AR171" s="26">
        <f t="shared" si="58"/>
        <v>0</v>
      </c>
      <c r="AS171">
        <f t="shared" si="59"/>
        <v>0</v>
      </c>
      <c r="AT171" s="549">
        <f t="shared" si="60"/>
      </c>
      <c r="AU171" s="404">
        <f t="shared" si="61"/>
        <v>0</v>
      </c>
      <c r="AV171" s="52">
        <v>120</v>
      </c>
      <c r="AW171" s="27"/>
      <c r="AX171" s="424"/>
      <c r="AZ171" s="52"/>
    </row>
    <row r="172" spans="1:52" ht="12.75">
      <c r="A172" s="503">
        <f t="shared" si="62"/>
        <v>158</v>
      </c>
      <c r="B172" s="89">
        <f t="shared" si="45"/>
        <v>0</v>
      </c>
      <c r="C172" s="89"/>
      <c r="D172" s="90">
        <f>IF(B172+F172-D171&lt;=0,B172+F172,IF(AND(OR(Simulador!$U$39=2,Simulador!$U$39=7),J171=0),_xlfn.IFERROR((((P172/360*AU172)/(1-(1+(P172/360*AU172))^-AS172))*B172)*(1+AA172),0),IF($AF$3=2,B172*AJ172,_xlfn.IFERROR((((P172/360*AU172)/(1-(1+(P172/360*AU172))^-AS172))*B172)*(1+AA172),0))))</f>
        <v>0</v>
      </c>
      <c r="E172" s="90"/>
      <c r="F172" s="90">
        <f t="shared" si="63"/>
        <v>0</v>
      </c>
      <c r="G172" s="90"/>
      <c r="H172" s="90">
        <f t="shared" si="64"/>
        <v>0</v>
      </c>
      <c r="I172" s="91"/>
      <c r="J172" s="92"/>
      <c r="K172" s="91"/>
      <c r="L172" s="90">
        <f>IF(Simulador!$T$41=1,0,J172*Simulador!$W$39*1.16)</f>
        <v>0</v>
      </c>
      <c r="M172" s="90"/>
      <c r="N172" s="93">
        <f t="shared" si="65"/>
        <v>0</v>
      </c>
      <c r="O172" s="12"/>
      <c r="P172" s="544">
        <f t="shared" si="66"/>
        <v>0</v>
      </c>
      <c r="Q172" s="4"/>
      <c r="R172" s="90">
        <f t="shared" si="67"/>
        <v>0</v>
      </c>
      <c r="S172" s="90"/>
      <c r="T172" s="90">
        <f>_xlfn.IFERROR(IF(Simulador!$U$30=1,0,IF($B172&lt;=0,0,$B172*Simulador!$AA$43)),0)</f>
        <v>0</v>
      </c>
      <c r="U172" s="90"/>
      <c r="V172" s="90">
        <f>_xlfn.IFERROR(IF(Simulador!$U$30=1,0,IF($B172&lt;=0,0,IF(Simulador!$D$22&gt;0,Simulador!$D$22,Simulador!$O$24)*Simulador!$AA$44)),0)</f>
        <v>0</v>
      </c>
      <c r="W172" s="90"/>
      <c r="X172" s="90"/>
      <c r="Y172" s="90">
        <f t="shared" si="46"/>
        <v>0</v>
      </c>
      <c r="Z172" s="13"/>
      <c r="AA172" s="18"/>
      <c r="AB172" s="23"/>
      <c r="AC172" s="364"/>
      <c r="AD172" s="222">
        <v>13</v>
      </c>
      <c r="AE172" s="220">
        <v>2</v>
      </c>
      <c r="AF172" s="269">
        <f t="shared" si="47"/>
        <v>0</v>
      </c>
      <c r="AG172" s="209">
        <f t="shared" si="48"/>
        <v>0</v>
      </c>
      <c r="AH172" s="209">
        <f t="shared" si="49"/>
        <v>0</v>
      </c>
      <c r="AI172" s="219">
        <f t="shared" si="50"/>
        <v>0</v>
      </c>
      <c r="AJ172" s="425">
        <f t="shared" si="51"/>
        <v>0</v>
      </c>
      <c r="AK172" s="57">
        <f t="shared" si="52"/>
        <v>0</v>
      </c>
      <c r="AL172" s="90">
        <f t="shared" si="53"/>
        <v>0</v>
      </c>
      <c r="AM172" s="58">
        <f t="shared" si="54"/>
        <v>0</v>
      </c>
      <c r="AN172" s="57">
        <f t="shared" si="55"/>
        <v>0</v>
      </c>
      <c r="AO172" s="432">
        <f t="shared" si="56"/>
        <v>0</v>
      </c>
      <c r="AP172" s="90">
        <f>_xlfn.IFERROR(IF(Simulador!$U$30=1,0,IF($AK172&lt;=0.01,0,$AK172*Simulador!$AA$43)),0)+_xlfn.IFERROR(IF(Simulador!$U$30=1,0,IF($AK172&lt;=0.01,0,IF(Simulador!$D$22&gt;0,Simulador!$D$22,Simulador!$O$24)*Simulador!$AA$44)),0)</f>
        <v>0</v>
      </c>
      <c r="AQ172" s="90">
        <f t="shared" si="57"/>
        <v>0</v>
      </c>
      <c r="AR172" s="26">
        <f t="shared" si="58"/>
        <v>0</v>
      </c>
      <c r="AS172">
        <f t="shared" si="59"/>
        <v>0</v>
      </c>
      <c r="AT172" s="549">
        <f t="shared" si="60"/>
      </c>
      <c r="AU172" s="404">
        <f t="shared" si="61"/>
        <v>0</v>
      </c>
      <c r="AV172" s="52">
        <v>120</v>
      </c>
      <c r="AW172" s="27"/>
      <c r="AX172" s="424"/>
      <c r="AZ172" s="52"/>
    </row>
    <row r="173" spans="1:52" ht="12.75">
      <c r="A173" s="503">
        <f t="shared" si="62"/>
        <v>159</v>
      </c>
      <c r="B173" s="89">
        <f t="shared" si="45"/>
        <v>0</v>
      </c>
      <c r="C173" s="89"/>
      <c r="D173" s="90">
        <f>IF(B173+F173-D172&lt;=0,B173+F173,IF(AND(OR(Simulador!$U$39=2,Simulador!$U$39=7),J172=0),_xlfn.IFERROR((((P173/360*AU173)/(1-(1+(P173/360*AU173))^-AS173))*B173)*(1+AA173),0),IF($AF$3=2,B173*AJ173,_xlfn.IFERROR((((P173/360*AU173)/(1-(1+(P173/360*AU173))^-AS173))*B173)*(1+AA173),0))))</f>
        <v>0</v>
      </c>
      <c r="E173" s="90"/>
      <c r="F173" s="90">
        <f t="shared" si="63"/>
        <v>0</v>
      </c>
      <c r="G173" s="90"/>
      <c r="H173" s="90">
        <f t="shared" si="64"/>
        <v>0</v>
      </c>
      <c r="I173" s="91"/>
      <c r="J173" s="92"/>
      <c r="K173" s="91"/>
      <c r="L173" s="90">
        <f>IF(Simulador!$T$41=1,0,J173*Simulador!$W$39*1.16)</f>
        <v>0</v>
      </c>
      <c r="M173" s="90"/>
      <c r="N173" s="93"/>
      <c r="O173" s="12"/>
      <c r="P173" s="544">
        <f t="shared" si="66"/>
        <v>0</v>
      </c>
      <c r="Q173" s="4"/>
      <c r="R173" s="90">
        <f t="shared" si="67"/>
        <v>0</v>
      </c>
      <c r="S173" s="90"/>
      <c r="T173" s="90">
        <f>_xlfn.IFERROR(IF(Simulador!$U$30=1,0,IF($B173&lt;=0,0,$B173*Simulador!$AA$43)),0)</f>
        <v>0</v>
      </c>
      <c r="U173" s="90"/>
      <c r="V173" s="90">
        <f>_xlfn.IFERROR(IF(Simulador!$U$30=1,0,IF($B173&lt;=0,0,IF(Simulador!$D$22&gt;0,Simulador!$D$22,Simulador!$O$24)*Simulador!$AA$44)),0)</f>
        <v>0</v>
      </c>
      <c r="W173" s="90"/>
      <c r="X173" s="90"/>
      <c r="Y173" s="90">
        <f t="shared" si="46"/>
        <v>0</v>
      </c>
      <c r="Z173" s="13"/>
      <c r="AA173" s="18"/>
      <c r="AB173" s="23"/>
      <c r="AC173" s="364"/>
      <c r="AD173" s="222">
        <v>13</v>
      </c>
      <c r="AE173" s="220">
        <v>3</v>
      </c>
      <c r="AF173" s="269">
        <f t="shared" si="47"/>
        <v>0</v>
      </c>
      <c r="AG173" s="209">
        <f t="shared" si="48"/>
        <v>0</v>
      </c>
      <c r="AH173" s="209">
        <f t="shared" si="49"/>
        <v>0</v>
      </c>
      <c r="AI173" s="219">
        <f t="shared" si="50"/>
        <v>0</v>
      </c>
      <c r="AJ173" s="425">
        <f t="shared" si="51"/>
        <v>0</v>
      </c>
      <c r="AK173" s="57">
        <f t="shared" si="52"/>
        <v>0</v>
      </c>
      <c r="AL173" s="90">
        <f t="shared" si="53"/>
        <v>0</v>
      </c>
      <c r="AM173" s="58">
        <f t="shared" si="54"/>
        <v>0</v>
      </c>
      <c r="AN173" s="57">
        <f t="shared" si="55"/>
        <v>0</v>
      </c>
      <c r="AO173" s="432">
        <f t="shared" si="56"/>
        <v>0</v>
      </c>
      <c r="AP173" s="90">
        <f>_xlfn.IFERROR(IF(Simulador!$U$30=1,0,IF($AK173&lt;=0.01,0,$AK173*Simulador!$AA$43)),0)+_xlfn.IFERROR(IF(Simulador!$U$30=1,0,IF($AK173&lt;=0.01,0,IF(Simulador!$D$22&gt;0,Simulador!$D$22,Simulador!$O$24)*Simulador!$AA$44)),0)</f>
        <v>0</v>
      </c>
      <c r="AQ173" s="90">
        <f t="shared" si="57"/>
        <v>0</v>
      </c>
      <c r="AR173" s="26">
        <f t="shared" si="58"/>
        <v>0</v>
      </c>
      <c r="AS173">
        <f t="shared" si="59"/>
        <v>0</v>
      </c>
      <c r="AT173" s="549">
        <f t="shared" si="60"/>
      </c>
      <c r="AU173" s="404">
        <f t="shared" si="61"/>
        <v>0</v>
      </c>
      <c r="AV173" s="52">
        <v>120</v>
      </c>
      <c r="AW173" s="27"/>
      <c r="AX173" s="424"/>
      <c r="AZ173" s="52"/>
    </row>
    <row r="174" spans="1:52" ht="12.75">
      <c r="A174" s="503">
        <f t="shared" si="62"/>
        <v>160</v>
      </c>
      <c r="B174" s="89">
        <f t="shared" si="45"/>
        <v>0</v>
      </c>
      <c r="C174" s="89"/>
      <c r="D174" s="90">
        <f>IF(B174+F174-D173&lt;=0,B174+F174,IF(AND(OR(Simulador!$U$39=2,Simulador!$U$39=7),J173=0),_xlfn.IFERROR((((P174/360*AU174)/(1-(1+(P174/360*AU174))^-AS174))*B174)*(1+AA174),0),IF($AF$3=2,B174*AJ174,_xlfn.IFERROR((((P174/360*AU174)/(1-(1+(P174/360*AU174))^-AS174))*B174)*(1+AA174),0))))</f>
        <v>0</v>
      </c>
      <c r="E174" s="90"/>
      <c r="F174" s="90">
        <f t="shared" si="63"/>
        <v>0</v>
      </c>
      <c r="G174" s="90"/>
      <c r="H174" s="90">
        <f t="shared" si="64"/>
        <v>0</v>
      </c>
      <c r="I174" s="91"/>
      <c r="J174" s="92"/>
      <c r="K174" s="91"/>
      <c r="L174" s="90">
        <f>IF(Simulador!$T$41=1,0,J174*Simulador!$W$39*1.16)</f>
        <v>0</v>
      </c>
      <c r="M174" s="90"/>
      <c r="N174" s="93">
        <f t="shared" si="65"/>
        <v>0</v>
      </c>
      <c r="O174" s="12"/>
      <c r="P174" s="544">
        <f t="shared" si="66"/>
        <v>0</v>
      </c>
      <c r="Q174" s="4"/>
      <c r="R174" s="90">
        <f t="shared" si="67"/>
        <v>0</v>
      </c>
      <c r="S174" s="90"/>
      <c r="T174" s="90">
        <f>_xlfn.IFERROR(IF(Simulador!$U$30=1,0,IF($B174&lt;=0,0,$B174*Simulador!$AA$43)),0)</f>
        <v>0</v>
      </c>
      <c r="U174" s="90"/>
      <c r="V174" s="90">
        <f>_xlfn.IFERROR(IF(Simulador!$U$30=1,0,IF($B174&lt;=0,0,IF(Simulador!$D$22&gt;0,Simulador!$D$22,Simulador!$O$24)*Simulador!$AA$44)),0)</f>
        <v>0</v>
      </c>
      <c r="W174" s="90"/>
      <c r="X174" s="90"/>
      <c r="Y174" s="90">
        <f t="shared" si="46"/>
        <v>0</v>
      </c>
      <c r="Z174" s="13"/>
      <c r="AA174" s="18"/>
      <c r="AB174" s="23"/>
      <c r="AC174" s="364"/>
      <c r="AD174" s="222">
        <v>13</v>
      </c>
      <c r="AE174" s="219">
        <v>4</v>
      </c>
      <c r="AF174" s="269">
        <f t="shared" si="47"/>
        <v>0</v>
      </c>
      <c r="AG174" s="209">
        <f t="shared" si="48"/>
        <v>0</v>
      </c>
      <c r="AH174" s="209">
        <f t="shared" si="49"/>
        <v>0</v>
      </c>
      <c r="AI174" s="219">
        <f t="shared" si="50"/>
        <v>0</v>
      </c>
      <c r="AJ174" s="425">
        <f t="shared" si="51"/>
        <v>0</v>
      </c>
      <c r="AK174" s="57">
        <f t="shared" si="52"/>
        <v>0</v>
      </c>
      <c r="AL174" s="90">
        <f t="shared" si="53"/>
        <v>0</v>
      </c>
      <c r="AM174" s="58">
        <f t="shared" si="54"/>
        <v>0</v>
      </c>
      <c r="AN174" s="57">
        <f t="shared" si="55"/>
        <v>0</v>
      </c>
      <c r="AO174" s="432">
        <f t="shared" si="56"/>
        <v>0</v>
      </c>
      <c r="AP174" s="90">
        <f>_xlfn.IFERROR(IF(Simulador!$U$30=1,0,IF($AK174&lt;=0.01,0,$AK174*Simulador!$AA$43)),0)+_xlfn.IFERROR(IF(Simulador!$U$30=1,0,IF($AK174&lt;=0.01,0,IF(Simulador!$D$22&gt;0,Simulador!$D$22,Simulador!$O$24)*Simulador!$AA$44)),0)</f>
        <v>0</v>
      </c>
      <c r="AQ174" s="90">
        <f t="shared" si="57"/>
        <v>0</v>
      </c>
      <c r="AR174" s="26">
        <f t="shared" si="58"/>
        <v>0</v>
      </c>
      <c r="AS174">
        <f t="shared" si="59"/>
        <v>0</v>
      </c>
      <c r="AT174" s="549">
        <f t="shared" si="60"/>
      </c>
      <c r="AU174" s="404">
        <f t="shared" si="61"/>
        <v>0</v>
      </c>
      <c r="AV174" s="52">
        <v>120</v>
      </c>
      <c r="AW174" s="27"/>
      <c r="AX174" s="424"/>
      <c r="AZ174" s="52"/>
    </row>
    <row r="175" spans="1:52" ht="12.75">
      <c r="A175" s="503">
        <f t="shared" si="62"/>
        <v>161</v>
      </c>
      <c r="B175" s="89">
        <f t="shared" si="45"/>
        <v>0</v>
      </c>
      <c r="C175" s="89"/>
      <c r="D175" s="90">
        <f>IF(B175+F175-D174&lt;=0,B175+F175,IF(AND(OR(Simulador!$U$39=2,Simulador!$U$39=7),J174=0),_xlfn.IFERROR((((P175/360*AU175)/(1-(1+(P175/360*AU175))^-AS175))*B175)*(1+AA175),0),IF($AF$3=2,B175*AJ175,_xlfn.IFERROR((((P175/360*AU175)/(1-(1+(P175/360*AU175))^-AS175))*B175)*(1+AA175),0))))</f>
        <v>0</v>
      </c>
      <c r="E175" s="90"/>
      <c r="F175" s="90">
        <f t="shared" si="63"/>
        <v>0</v>
      </c>
      <c r="G175" s="90"/>
      <c r="H175" s="90">
        <f t="shared" si="64"/>
        <v>0</v>
      </c>
      <c r="I175" s="91"/>
      <c r="J175" s="92"/>
      <c r="K175" s="91"/>
      <c r="L175" s="90">
        <f>IF(Simulador!$T$41=1,0,J175*Simulador!$W$39*1.16)</f>
        <v>0</v>
      </c>
      <c r="M175" s="90"/>
      <c r="N175" s="93"/>
      <c r="O175" s="12"/>
      <c r="P175" s="544">
        <f t="shared" si="66"/>
        <v>0</v>
      </c>
      <c r="Q175" s="4"/>
      <c r="R175" s="90">
        <f t="shared" si="67"/>
        <v>0</v>
      </c>
      <c r="S175" s="90"/>
      <c r="T175" s="90">
        <f>_xlfn.IFERROR(IF(Simulador!$U$30=1,0,IF($B175&lt;=0,0,$B175*Simulador!$AA$43)),0)</f>
        <v>0</v>
      </c>
      <c r="U175" s="90"/>
      <c r="V175" s="90">
        <f>_xlfn.IFERROR(IF(Simulador!$U$30=1,0,IF($B175&lt;=0,0,IF(Simulador!$D$22&gt;0,Simulador!$D$22,Simulador!$O$24)*Simulador!$AA$44)),0)</f>
        <v>0</v>
      </c>
      <c r="W175" s="90"/>
      <c r="X175" s="90"/>
      <c r="Y175" s="90">
        <f t="shared" si="46"/>
        <v>0</v>
      </c>
      <c r="Z175" s="13"/>
      <c r="AA175" s="18"/>
      <c r="AB175" s="23"/>
      <c r="AC175" s="364"/>
      <c r="AD175" s="222">
        <v>13</v>
      </c>
      <c r="AE175" s="219">
        <v>5</v>
      </c>
      <c r="AF175" s="269">
        <f t="shared" si="47"/>
        <v>0</v>
      </c>
      <c r="AG175" s="209">
        <f t="shared" si="48"/>
        <v>0</v>
      </c>
      <c r="AH175" s="209">
        <f t="shared" si="49"/>
        <v>0</v>
      </c>
      <c r="AI175" s="219">
        <f t="shared" si="50"/>
        <v>0</v>
      </c>
      <c r="AJ175" s="425">
        <f t="shared" si="51"/>
        <v>0</v>
      </c>
      <c r="AK175" s="57">
        <f t="shared" si="52"/>
        <v>0</v>
      </c>
      <c r="AL175" s="90">
        <f t="shared" si="53"/>
        <v>0</v>
      </c>
      <c r="AM175" s="58">
        <f t="shared" si="54"/>
        <v>0</v>
      </c>
      <c r="AN175" s="57">
        <f t="shared" si="55"/>
        <v>0</v>
      </c>
      <c r="AO175" s="432">
        <f t="shared" si="56"/>
        <v>0</v>
      </c>
      <c r="AP175" s="90">
        <f>_xlfn.IFERROR(IF(Simulador!$U$30=1,0,IF($AK175&lt;=0.01,0,$AK175*Simulador!$AA$43)),0)+_xlfn.IFERROR(IF(Simulador!$U$30=1,0,IF($AK175&lt;=0.01,0,IF(Simulador!$D$22&gt;0,Simulador!$D$22,Simulador!$O$24)*Simulador!$AA$44)),0)</f>
        <v>0</v>
      </c>
      <c r="AQ175" s="90">
        <f t="shared" si="57"/>
        <v>0</v>
      </c>
      <c r="AR175" s="26">
        <f t="shared" si="58"/>
        <v>0</v>
      </c>
      <c r="AS175">
        <f t="shared" si="59"/>
        <v>0</v>
      </c>
      <c r="AT175" s="549">
        <f t="shared" si="60"/>
      </c>
      <c r="AU175" s="404">
        <f t="shared" si="61"/>
        <v>0</v>
      </c>
      <c r="AV175" s="52">
        <v>120</v>
      </c>
      <c r="AW175" s="27"/>
      <c r="AX175" s="424"/>
      <c r="AZ175" s="52"/>
    </row>
    <row r="176" spans="1:52" ht="12.75">
      <c r="A176" s="503">
        <f t="shared" si="62"/>
        <v>162</v>
      </c>
      <c r="B176" s="89">
        <f t="shared" si="45"/>
        <v>0</v>
      </c>
      <c r="C176" s="89"/>
      <c r="D176" s="90">
        <f>IF(B176+F176-D175&lt;=0,B176+F176,IF(AND(OR(Simulador!$U$39=2,Simulador!$U$39=7),J175=0),_xlfn.IFERROR((((P176/360*AU176)/(1-(1+(P176/360*AU176))^-AS176))*B176)*(1+AA176),0),IF($AF$3=2,B176*AJ176,_xlfn.IFERROR((((P176/360*AU176)/(1-(1+(P176/360*AU176))^-AS176))*B176)*(1+AA176),0))))</f>
        <v>0</v>
      </c>
      <c r="E176" s="90"/>
      <c r="F176" s="90">
        <f t="shared" si="63"/>
        <v>0</v>
      </c>
      <c r="G176" s="90"/>
      <c r="H176" s="90">
        <f t="shared" si="64"/>
        <v>0</v>
      </c>
      <c r="I176" s="91"/>
      <c r="J176" s="92"/>
      <c r="K176" s="91"/>
      <c r="L176" s="90">
        <f>IF(Simulador!$T$41=1,0,J176*Simulador!$W$39*1.16)</f>
        <v>0</v>
      </c>
      <c r="M176" s="90"/>
      <c r="N176" s="93">
        <f t="shared" si="65"/>
        <v>0</v>
      </c>
      <c r="O176" s="12"/>
      <c r="P176" s="544">
        <f t="shared" si="66"/>
        <v>0</v>
      </c>
      <c r="Q176" s="4"/>
      <c r="R176" s="90">
        <f t="shared" si="67"/>
        <v>0</v>
      </c>
      <c r="S176" s="90"/>
      <c r="T176" s="90">
        <f>_xlfn.IFERROR(IF(Simulador!$U$30=1,0,IF($B176&lt;=0,0,$B176*Simulador!$AA$43)),0)</f>
        <v>0</v>
      </c>
      <c r="U176" s="90"/>
      <c r="V176" s="90">
        <f>_xlfn.IFERROR(IF(Simulador!$U$30=1,0,IF($B176&lt;=0,0,IF(Simulador!$D$22&gt;0,Simulador!$D$22,Simulador!$O$24)*Simulador!$AA$44)),0)</f>
        <v>0</v>
      </c>
      <c r="W176" s="90"/>
      <c r="X176" s="90"/>
      <c r="Y176" s="90">
        <f t="shared" si="46"/>
        <v>0</v>
      </c>
      <c r="Z176" s="13"/>
      <c r="AA176" s="18"/>
      <c r="AB176" s="23"/>
      <c r="AC176" s="364"/>
      <c r="AD176" s="222">
        <v>13</v>
      </c>
      <c r="AE176" s="219">
        <v>6</v>
      </c>
      <c r="AF176" s="269">
        <f t="shared" si="47"/>
        <v>0</v>
      </c>
      <c r="AG176" s="209">
        <f t="shared" si="48"/>
        <v>0</v>
      </c>
      <c r="AH176" s="209">
        <f t="shared" si="49"/>
        <v>0</v>
      </c>
      <c r="AI176" s="219">
        <f t="shared" si="50"/>
        <v>0</v>
      </c>
      <c r="AJ176" s="425">
        <f t="shared" si="51"/>
        <v>0</v>
      </c>
      <c r="AK176" s="57">
        <f t="shared" si="52"/>
        <v>0</v>
      </c>
      <c r="AL176" s="90">
        <f t="shared" si="53"/>
        <v>0</v>
      </c>
      <c r="AM176" s="58">
        <f t="shared" si="54"/>
        <v>0</v>
      </c>
      <c r="AN176" s="57">
        <f t="shared" si="55"/>
        <v>0</v>
      </c>
      <c r="AO176" s="432">
        <f t="shared" si="56"/>
        <v>0</v>
      </c>
      <c r="AP176" s="90">
        <f>_xlfn.IFERROR(IF(Simulador!$U$30=1,0,IF($AK176&lt;=0.01,0,$AK176*Simulador!$AA$43)),0)+_xlfn.IFERROR(IF(Simulador!$U$30=1,0,IF($AK176&lt;=0.01,0,IF(Simulador!$D$22&gt;0,Simulador!$D$22,Simulador!$O$24)*Simulador!$AA$44)),0)</f>
        <v>0</v>
      </c>
      <c r="AQ176" s="90">
        <f t="shared" si="57"/>
        <v>0</v>
      </c>
      <c r="AR176" s="26">
        <f t="shared" si="58"/>
        <v>0</v>
      </c>
      <c r="AS176">
        <f t="shared" si="59"/>
        <v>0</v>
      </c>
      <c r="AT176" s="549">
        <f t="shared" si="60"/>
      </c>
      <c r="AU176" s="404">
        <f t="shared" si="61"/>
        <v>0</v>
      </c>
      <c r="AV176" s="52">
        <v>120</v>
      </c>
      <c r="AW176" s="27"/>
      <c r="AX176" s="424"/>
      <c r="AZ176" s="52"/>
    </row>
    <row r="177" spans="1:52" ht="12.75">
      <c r="A177" s="503">
        <f t="shared" si="62"/>
        <v>163</v>
      </c>
      <c r="B177" s="89">
        <f t="shared" si="45"/>
        <v>0</v>
      </c>
      <c r="C177" s="89"/>
      <c r="D177" s="90">
        <f>IF(B177+F177-D176&lt;=0,B177+F177,IF(AND(OR(Simulador!$U$39=2,Simulador!$U$39=7),J176=0),_xlfn.IFERROR((((P177/360*AU177)/(1-(1+(P177/360*AU177))^-AS177))*B177)*(1+AA177),0),IF($AF$3=2,B177*AJ177,_xlfn.IFERROR((((P177/360*AU177)/(1-(1+(P177/360*AU177))^-AS177))*B177)*(1+AA177),0))))</f>
        <v>0</v>
      </c>
      <c r="E177" s="90"/>
      <c r="F177" s="90">
        <f t="shared" si="63"/>
        <v>0</v>
      </c>
      <c r="G177" s="90"/>
      <c r="H177" s="90">
        <f t="shared" si="64"/>
        <v>0</v>
      </c>
      <c r="I177" s="91"/>
      <c r="J177" s="92"/>
      <c r="K177" s="91"/>
      <c r="L177" s="90">
        <f>IF(Simulador!$T$41=1,0,J177*Simulador!$W$39*1.16)</f>
        <v>0</v>
      </c>
      <c r="M177" s="90"/>
      <c r="N177" s="93"/>
      <c r="O177" s="12"/>
      <c r="P177" s="544">
        <f t="shared" si="66"/>
        <v>0</v>
      </c>
      <c r="Q177" s="4"/>
      <c r="R177" s="90">
        <f t="shared" si="67"/>
        <v>0</v>
      </c>
      <c r="S177" s="90"/>
      <c r="T177" s="90">
        <f>_xlfn.IFERROR(IF(Simulador!$U$30=1,0,IF($B177&lt;=0,0,$B177*Simulador!$AA$43)),0)</f>
        <v>0</v>
      </c>
      <c r="U177" s="90"/>
      <c r="V177" s="90">
        <f>_xlfn.IFERROR(IF(Simulador!$U$30=1,0,IF($B177&lt;=0,0,IF(Simulador!$D$22&gt;0,Simulador!$D$22,Simulador!$O$24)*Simulador!$AA$44)),0)</f>
        <v>0</v>
      </c>
      <c r="W177" s="90"/>
      <c r="X177" s="90"/>
      <c r="Y177" s="90">
        <f t="shared" si="46"/>
        <v>0</v>
      </c>
      <c r="Z177" s="13"/>
      <c r="AA177" s="18"/>
      <c r="AB177" s="23"/>
      <c r="AC177" s="364"/>
      <c r="AD177" s="222">
        <v>13</v>
      </c>
      <c r="AE177" s="219">
        <v>7</v>
      </c>
      <c r="AF177" s="269">
        <f t="shared" si="47"/>
        <v>0</v>
      </c>
      <c r="AG177" s="209">
        <f t="shared" si="48"/>
        <v>0</v>
      </c>
      <c r="AH177" s="209">
        <f t="shared" si="49"/>
        <v>0</v>
      </c>
      <c r="AI177" s="219">
        <f t="shared" si="50"/>
        <v>0</v>
      </c>
      <c r="AJ177" s="425">
        <f t="shared" si="51"/>
        <v>0</v>
      </c>
      <c r="AK177" s="57">
        <f t="shared" si="52"/>
        <v>0</v>
      </c>
      <c r="AL177" s="90">
        <f t="shared" si="53"/>
        <v>0</v>
      </c>
      <c r="AM177" s="58">
        <f t="shared" si="54"/>
        <v>0</v>
      </c>
      <c r="AN177" s="57">
        <f t="shared" si="55"/>
        <v>0</v>
      </c>
      <c r="AO177" s="432">
        <f t="shared" si="56"/>
        <v>0</v>
      </c>
      <c r="AP177" s="90">
        <f>_xlfn.IFERROR(IF(Simulador!$U$30=1,0,IF($AK177&lt;=0.01,0,$AK177*Simulador!$AA$43)),0)+_xlfn.IFERROR(IF(Simulador!$U$30=1,0,IF($AK177&lt;=0.01,0,IF(Simulador!$D$22&gt;0,Simulador!$D$22,Simulador!$O$24)*Simulador!$AA$44)),0)</f>
        <v>0</v>
      </c>
      <c r="AQ177" s="90">
        <f t="shared" si="57"/>
        <v>0</v>
      </c>
      <c r="AR177" s="26">
        <f t="shared" si="58"/>
        <v>0</v>
      </c>
      <c r="AS177">
        <f t="shared" si="59"/>
        <v>0</v>
      </c>
      <c r="AT177" s="549">
        <f t="shared" si="60"/>
      </c>
      <c r="AU177" s="404">
        <f t="shared" si="61"/>
        <v>0</v>
      </c>
      <c r="AV177" s="52">
        <v>120</v>
      </c>
      <c r="AW177" s="27"/>
      <c r="AX177" s="424"/>
      <c r="AZ177" s="52"/>
    </row>
    <row r="178" spans="1:52" ht="12.75">
      <c r="A178" s="503">
        <f t="shared" si="62"/>
        <v>164</v>
      </c>
      <c r="B178" s="89">
        <f t="shared" si="45"/>
        <v>0</v>
      </c>
      <c r="C178" s="89"/>
      <c r="D178" s="90">
        <f>IF(B178+F178-D177&lt;=0,B178+F178,IF(AND(OR(Simulador!$U$39=2,Simulador!$U$39=7),J177=0),_xlfn.IFERROR((((P178/360*AU178)/(1-(1+(P178/360*AU178))^-AS178))*B178)*(1+AA178),0),IF($AF$3=2,B178*AJ178,_xlfn.IFERROR((((P178/360*AU178)/(1-(1+(P178/360*AU178))^-AS178))*B178)*(1+AA178),0))))</f>
        <v>0</v>
      </c>
      <c r="E178" s="90"/>
      <c r="F178" s="90">
        <f t="shared" si="63"/>
        <v>0</v>
      </c>
      <c r="G178" s="90"/>
      <c r="H178" s="90">
        <f t="shared" si="64"/>
        <v>0</v>
      </c>
      <c r="I178" s="91"/>
      <c r="J178" s="92"/>
      <c r="K178" s="91"/>
      <c r="L178" s="90">
        <f>IF(Simulador!$T$41=1,0,J178*Simulador!$W$39*1.16)</f>
        <v>0</v>
      </c>
      <c r="M178" s="90"/>
      <c r="N178" s="93">
        <f t="shared" si="65"/>
        <v>0</v>
      </c>
      <c r="O178" s="12"/>
      <c r="P178" s="544">
        <f t="shared" si="66"/>
        <v>0</v>
      </c>
      <c r="Q178" s="4"/>
      <c r="R178" s="90">
        <f t="shared" si="67"/>
        <v>0</v>
      </c>
      <c r="S178" s="90"/>
      <c r="T178" s="90">
        <f>_xlfn.IFERROR(IF(Simulador!$U$30=1,0,IF($B178&lt;=0,0,$B178*Simulador!$AA$43)),0)</f>
        <v>0</v>
      </c>
      <c r="U178" s="90"/>
      <c r="V178" s="90">
        <f>_xlfn.IFERROR(IF(Simulador!$U$30=1,0,IF($B178&lt;=0,0,IF(Simulador!$D$22&gt;0,Simulador!$D$22,Simulador!$O$24)*Simulador!$AA$44)),0)</f>
        <v>0</v>
      </c>
      <c r="W178" s="90"/>
      <c r="X178" s="90"/>
      <c r="Y178" s="90">
        <f t="shared" si="46"/>
        <v>0</v>
      </c>
      <c r="Z178" s="13"/>
      <c r="AA178" s="18"/>
      <c r="AB178" s="23"/>
      <c r="AC178" s="364"/>
      <c r="AD178" s="222">
        <v>13</v>
      </c>
      <c r="AE178" s="219">
        <v>8</v>
      </c>
      <c r="AF178" s="269">
        <f t="shared" si="47"/>
        <v>0</v>
      </c>
      <c r="AG178" s="209">
        <f t="shared" si="48"/>
        <v>0</v>
      </c>
      <c r="AH178" s="209">
        <f t="shared" si="49"/>
        <v>0</v>
      </c>
      <c r="AI178" s="219">
        <f t="shared" si="50"/>
        <v>0</v>
      </c>
      <c r="AJ178" s="425">
        <f t="shared" si="51"/>
        <v>0</v>
      </c>
      <c r="AK178" s="57">
        <f t="shared" si="52"/>
        <v>0</v>
      </c>
      <c r="AL178" s="90">
        <f t="shared" si="53"/>
        <v>0</v>
      </c>
      <c r="AM178" s="58">
        <f t="shared" si="54"/>
        <v>0</v>
      </c>
      <c r="AN178" s="57">
        <f t="shared" si="55"/>
        <v>0</v>
      </c>
      <c r="AO178" s="432">
        <f t="shared" si="56"/>
        <v>0</v>
      </c>
      <c r="AP178" s="90">
        <f>_xlfn.IFERROR(IF(Simulador!$U$30=1,0,IF($AK178&lt;=0.01,0,$AK178*Simulador!$AA$43)),0)+_xlfn.IFERROR(IF(Simulador!$U$30=1,0,IF($AK178&lt;=0.01,0,IF(Simulador!$D$22&gt;0,Simulador!$D$22,Simulador!$O$24)*Simulador!$AA$44)),0)</f>
        <v>0</v>
      </c>
      <c r="AQ178" s="90">
        <f t="shared" si="57"/>
        <v>0</v>
      </c>
      <c r="AR178" s="26">
        <f t="shared" si="58"/>
        <v>0</v>
      </c>
      <c r="AS178">
        <f t="shared" si="59"/>
        <v>0</v>
      </c>
      <c r="AT178" s="549">
        <f t="shared" si="60"/>
      </c>
      <c r="AU178" s="404">
        <f t="shared" si="61"/>
        <v>0</v>
      </c>
      <c r="AV178" s="52">
        <v>120</v>
      </c>
      <c r="AW178" s="27"/>
      <c r="AX178" s="424"/>
      <c r="AZ178" s="52"/>
    </row>
    <row r="179" spans="1:52" ht="12.75">
      <c r="A179" s="503">
        <f t="shared" si="62"/>
        <v>165</v>
      </c>
      <c r="B179" s="89">
        <f t="shared" si="45"/>
        <v>0</v>
      </c>
      <c r="C179" s="89"/>
      <c r="D179" s="90">
        <f>IF(B179+F179-D178&lt;=0,B179+F179,IF(AND(OR(Simulador!$U$39=2,Simulador!$U$39=7),J178=0),_xlfn.IFERROR((((P179/360*AU179)/(1-(1+(P179/360*AU179))^-AS179))*B179)*(1+AA179),0),IF($AF$3=2,B179*AJ179,_xlfn.IFERROR((((P179/360*AU179)/(1-(1+(P179/360*AU179))^-AS179))*B179)*(1+AA179),0))))</f>
        <v>0</v>
      </c>
      <c r="E179" s="90"/>
      <c r="F179" s="90">
        <f t="shared" si="63"/>
        <v>0</v>
      </c>
      <c r="G179" s="90"/>
      <c r="H179" s="90">
        <f t="shared" si="64"/>
        <v>0</v>
      </c>
      <c r="I179" s="91"/>
      <c r="J179" s="92"/>
      <c r="K179" s="91"/>
      <c r="L179" s="90">
        <f>IF(Simulador!$T$41=1,0,J179*Simulador!$W$39*1.16)</f>
        <v>0</v>
      </c>
      <c r="M179" s="90"/>
      <c r="N179" s="93"/>
      <c r="O179" s="12"/>
      <c r="P179" s="544">
        <f t="shared" si="66"/>
        <v>0</v>
      </c>
      <c r="Q179" s="4"/>
      <c r="R179" s="90">
        <f t="shared" si="67"/>
        <v>0</v>
      </c>
      <c r="S179" s="90"/>
      <c r="T179" s="90">
        <f>_xlfn.IFERROR(IF(Simulador!$U$30=1,0,IF($B179&lt;=0,0,$B179*Simulador!$AA$43)),0)</f>
        <v>0</v>
      </c>
      <c r="U179" s="90"/>
      <c r="V179" s="90">
        <f>_xlfn.IFERROR(IF(Simulador!$U$30=1,0,IF($B179&lt;=0,0,IF(Simulador!$D$22&gt;0,Simulador!$D$22,Simulador!$O$24)*Simulador!$AA$44)),0)</f>
        <v>0</v>
      </c>
      <c r="W179" s="90"/>
      <c r="X179" s="90"/>
      <c r="Y179" s="90">
        <f t="shared" si="46"/>
        <v>0</v>
      </c>
      <c r="Z179" s="13"/>
      <c r="AA179" s="18"/>
      <c r="AB179" s="23"/>
      <c r="AC179" s="364"/>
      <c r="AD179" s="222">
        <v>13</v>
      </c>
      <c r="AE179" s="221">
        <v>9</v>
      </c>
      <c r="AF179" s="269">
        <f t="shared" si="47"/>
        <v>0</v>
      </c>
      <c r="AG179" s="209">
        <f t="shared" si="48"/>
        <v>0</v>
      </c>
      <c r="AH179" s="209">
        <f t="shared" si="49"/>
        <v>0</v>
      </c>
      <c r="AI179" s="219">
        <f t="shared" si="50"/>
        <v>0</v>
      </c>
      <c r="AJ179" s="425">
        <f t="shared" si="51"/>
        <v>0</v>
      </c>
      <c r="AK179" s="57">
        <f t="shared" si="52"/>
        <v>0</v>
      </c>
      <c r="AL179" s="90">
        <f t="shared" si="53"/>
        <v>0</v>
      </c>
      <c r="AM179" s="58">
        <f t="shared" si="54"/>
        <v>0</v>
      </c>
      <c r="AN179" s="57">
        <f t="shared" si="55"/>
        <v>0</v>
      </c>
      <c r="AO179" s="432">
        <f t="shared" si="56"/>
        <v>0</v>
      </c>
      <c r="AP179" s="90">
        <f>_xlfn.IFERROR(IF(Simulador!$U$30=1,0,IF($AK179&lt;=0.01,0,$AK179*Simulador!$AA$43)),0)+_xlfn.IFERROR(IF(Simulador!$U$30=1,0,IF($AK179&lt;=0.01,0,IF(Simulador!$D$22&gt;0,Simulador!$D$22,Simulador!$O$24)*Simulador!$AA$44)),0)</f>
        <v>0</v>
      </c>
      <c r="AQ179" s="90">
        <f t="shared" si="57"/>
        <v>0</v>
      </c>
      <c r="AR179" s="26">
        <f t="shared" si="58"/>
        <v>0</v>
      </c>
      <c r="AS179">
        <f t="shared" si="59"/>
        <v>0</v>
      </c>
      <c r="AT179" s="549">
        <f t="shared" si="60"/>
      </c>
      <c r="AU179" s="404">
        <f t="shared" si="61"/>
        <v>0</v>
      </c>
      <c r="AV179" s="52">
        <v>120</v>
      </c>
      <c r="AW179" s="27"/>
      <c r="AX179" s="424"/>
      <c r="AZ179" s="52"/>
    </row>
    <row r="180" spans="1:52" ht="12.75">
      <c r="A180" s="503">
        <f t="shared" si="62"/>
        <v>166</v>
      </c>
      <c r="B180" s="89">
        <f t="shared" si="45"/>
        <v>0</v>
      </c>
      <c r="C180" s="89"/>
      <c r="D180" s="90">
        <f>IF(B180+F180-D179&lt;=0,B180+F180,IF(AND(OR(Simulador!$U$39=2,Simulador!$U$39=7),J179=0),_xlfn.IFERROR((((P180/360*AU180)/(1-(1+(P180/360*AU180))^-AS180))*B180)*(1+AA180),0),IF($AF$3=2,B180*AJ180,_xlfn.IFERROR((((P180/360*AU180)/(1-(1+(P180/360*AU180))^-AS180))*B180)*(1+AA180),0))))</f>
        <v>0</v>
      </c>
      <c r="E180" s="90"/>
      <c r="F180" s="90">
        <f t="shared" si="63"/>
        <v>0</v>
      </c>
      <c r="G180" s="90"/>
      <c r="H180" s="90">
        <f t="shared" si="64"/>
        <v>0</v>
      </c>
      <c r="I180" s="91"/>
      <c r="J180" s="92"/>
      <c r="K180" s="91"/>
      <c r="L180" s="90">
        <f>IF(Simulador!$T$41=1,0,J180*Simulador!$W$39*1.16)</f>
        <v>0</v>
      </c>
      <c r="M180" s="90"/>
      <c r="N180" s="93">
        <f t="shared" si="65"/>
        <v>0</v>
      </c>
      <c r="O180" s="12"/>
      <c r="P180" s="544">
        <f t="shared" si="66"/>
        <v>0</v>
      </c>
      <c r="Q180" s="4"/>
      <c r="R180" s="90">
        <f t="shared" si="67"/>
        <v>0</v>
      </c>
      <c r="S180" s="90"/>
      <c r="T180" s="90">
        <f>_xlfn.IFERROR(IF(Simulador!$U$30=1,0,IF($B180&lt;=0,0,$B180*Simulador!$AA$43)),0)</f>
        <v>0</v>
      </c>
      <c r="U180" s="90"/>
      <c r="V180" s="90">
        <f>_xlfn.IFERROR(IF(Simulador!$U$30=1,0,IF($B180&lt;=0,0,IF(Simulador!$D$22&gt;0,Simulador!$D$22,Simulador!$O$24)*Simulador!$AA$44)),0)</f>
        <v>0</v>
      </c>
      <c r="W180" s="90"/>
      <c r="X180" s="90"/>
      <c r="Y180" s="90">
        <f t="shared" si="46"/>
        <v>0</v>
      </c>
      <c r="Z180" s="13"/>
      <c r="AA180" s="18"/>
      <c r="AB180" s="23"/>
      <c r="AC180" s="364"/>
      <c r="AD180" s="222">
        <v>13</v>
      </c>
      <c r="AE180" s="221">
        <v>10</v>
      </c>
      <c r="AF180" s="269">
        <f t="shared" si="47"/>
        <v>0</v>
      </c>
      <c r="AG180" s="209">
        <f t="shared" si="48"/>
        <v>0</v>
      </c>
      <c r="AH180" s="209">
        <f t="shared" si="49"/>
        <v>0</v>
      </c>
      <c r="AI180" s="219">
        <f t="shared" si="50"/>
        <v>0</v>
      </c>
      <c r="AJ180" s="425">
        <f t="shared" si="51"/>
        <v>0</v>
      </c>
      <c r="AK180" s="57">
        <f t="shared" si="52"/>
        <v>0</v>
      </c>
      <c r="AL180" s="90">
        <f t="shared" si="53"/>
        <v>0</v>
      </c>
      <c r="AM180" s="58">
        <f t="shared" si="54"/>
        <v>0</v>
      </c>
      <c r="AN180" s="57">
        <f t="shared" si="55"/>
        <v>0</v>
      </c>
      <c r="AO180" s="432">
        <f t="shared" si="56"/>
        <v>0</v>
      </c>
      <c r="AP180" s="90">
        <f>_xlfn.IFERROR(IF(Simulador!$U$30=1,0,IF($AK180&lt;=0.01,0,$AK180*Simulador!$AA$43)),0)+_xlfn.IFERROR(IF(Simulador!$U$30=1,0,IF($AK180&lt;=0.01,0,IF(Simulador!$D$22&gt;0,Simulador!$D$22,Simulador!$O$24)*Simulador!$AA$44)),0)</f>
        <v>0</v>
      </c>
      <c r="AQ180" s="90">
        <f t="shared" si="57"/>
        <v>0</v>
      </c>
      <c r="AR180" s="26">
        <f t="shared" si="58"/>
        <v>0</v>
      </c>
      <c r="AS180">
        <f t="shared" si="59"/>
        <v>0</v>
      </c>
      <c r="AT180" s="549">
        <f t="shared" si="60"/>
      </c>
      <c r="AU180" s="404">
        <f t="shared" si="61"/>
        <v>0</v>
      </c>
      <c r="AV180" s="52">
        <v>120</v>
      </c>
      <c r="AW180" s="27"/>
      <c r="AX180" s="424"/>
      <c r="AZ180" s="52"/>
    </row>
    <row r="181" spans="1:52" ht="12.75">
      <c r="A181" s="503">
        <f t="shared" si="62"/>
        <v>167</v>
      </c>
      <c r="B181" s="89">
        <f t="shared" si="45"/>
        <v>0</v>
      </c>
      <c r="C181" s="89"/>
      <c r="D181" s="90">
        <f>IF(B181+F181-D180&lt;=0,B181+F181,IF(AND(OR(Simulador!$U$39=2,Simulador!$U$39=7),J180=0),_xlfn.IFERROR((((P181/360*AU181)/(1-(1+(P181/360*AU181))^-AS181))*B181)*(1+AA181),0),IF($AF$3=2,B181*AJ181,_xlfn.IFERROR((((P181/360*AU181)/(1-(1+(P181/360*AU181))^-AS181))*B181)*(1+AA181),0))))</f>
        <v>0</v>
      </c>
      <c r="E181" s="90"/>
      <c r="F181" s="90">
        <f t="shared" si="63"/>
        <v>0</v>
      </c>
      <c r="G181" s="90"/>
      <c r="H181" s="90">
        <f t="shared" si="64"/>
        <v>0</v>
      </c>
      <c r="I181" s="91"/>
      <c r="J181" s="92"/>
      <c r="K181" s="91"/>
      <c r="L181" s="90">
        <f>IF(Simulador!$T$41=1,0,J181*Simulador!$W$39*1.16)</f>
        <v>0</v>
      </c>
      <c r="M181" s="90"/>
      <c r="N181" s="93"/>
      <c r="O181" s="12"/>
      <c r="P181" s="544">
        <f t="shared" si="66"/>
        <v>0</v>
      </c>
      <c r="Q181" s="4"/>
      <c r="R181" s="90">
        <f t="shared" si="67"/>
        <v>0</v>
      </c>
      <c r="S181" s="90"/>
      <c r="T181" s="90">
        <f>_xlfn.IFERROR(IF(Simulador!$U$30=1,0,IF($B181&lt;=0,0,$B181*Simulador!$AA$43)),0)</f>
        <v>0</v>
      </c>
      <c r="U181" s="90"/>
      <c r="V181" s="90">
        <f>_xlfn.IFERROR(IF(Simulador!$U$30=1,0,IF($B181&lt;=0,0,IF(Simulador!$D$22&gt;0,Simulador!$D$22,Simulador!$O$24)*Simulador!$AA$44)),0)</f>
        <v>0</v>
      </c>
      <c r="W181" s="90"/>
      <c r="X181" s="90"/>
      <c r="Y181" s="90">
        <f t="shared" si="46"/>
        <v>0</v>
      </c>
      <c r="Z181" s="13"/>
      <c r="AA181" s="18"/>
      <c r="AB181" s="23"/>
      <c r="AC181" s="364"/>
      <c r="AD181" s="222">
        <v>13</v>
      </c>
      <c r="AE181" s="219">
        <v>11</v>
      </c>
      <c r="AF181" s="269">
        <f t="shared" si="47"/>
        <v>0</v>
      </c>
      <c r="AG181" s="209">
        <f t="shared" si="48"/>
        <v>0</v>
      </c>
      <c r="AH181" s="209">
        <f t="shared" si="49"/>
        <v>0</v>
      </c>
      <c r="AI181" s="219">
        <f t="shared" si="50"/>
        <v>0</v>
      </c>
      <c r="AJ181" s="425">
        <f t="shared" si="51"/>
        <v>0</v>
      </c>
      <c r="AK181" s="57">
        <f t="shared" si="52"/>
        <v>0</v>
      </c>
      <c r="AL181" s="90">
        <f t="shared" si="53"/>
        <v>0</v>
      </c>
      <c r="AM181" s="58">
        <f t="shared" si="54"/>
        <v>0</v>
      </c>
      <c r="AN181" s="57">
        <f t="shared" si="55"/>
        <v>0</v>
      </c>
      <c r="AO181" s="432">
        <f t="shared" si="56"/>
        <v>0</v>
      </c>
      <c r="AP181" s="90">
        <f>_xlfn.IFERROR(IF(Simulador!$U$30=1,0,IF($AK181&lt;=0.01,0,$AK181*Simulador!$AA$43)),0)+_xlfn.IFERROR(IF(Simulador!$U$30=1,0,IF($AK181&lt;=0.01,0,IF(Simulador!$D$22&gt;0,Simulador!$D$22,Simulador!$O$24)*Simulador!$AA$44)),0)</f>
        <v>0</v>
      </c>
      <c r="AQ181" s="90">
        <f t="shared" si="57"/>
        <v>0</v>
      </c>
      <c r="AR181" s="26">
        <f t="shared" si="58"/>
        <v>0</v>
      </c>
      <c r="AS181">
        <f t="shared" si="59"/>
        <v>0</v>
      </c>
      <c r="AT181" s="549">
        <f t="shared" si="60"/>
      </c>
      <c r="AU181" s="404">
        <f t="shared" si="61"/>
        <v>0</v>
      </c>
      <c r="AV181" s="52">
        <v>120</v>
      </c>
      <c r="AW181" s="27"/>
      <c r="AX181" s="424"/>
      <c r="AZ181" s="52"/>
    </row>
    <row r="182" spans="1:52" ht="12.75">
      <c r="A182" s="503">
        <f t="shared" si="62"/>
        <v>168</v>
      </c>
      <c r="B182" s="89">
        <f t="shared" si="45"/>
        <v>0</v>
      </c>
      <c r="C182" s="89"/>
      <c r="D182" s="90">
        <f>IF(B182+F182-D181&lt;=0,B182+F182,IF(AND(OR(Simulador!$U$39=2,Simulador!$U$39=7),J181=0),_xlfn.IFERROR((((P182/360*AU182)/(1-(1+(P182/360*AU182))^-AS182))*B182)*(1+AA182),0),IF($AF$3=2,B182*AJ182,_xlfn.IFERROR((((P182/360*AU182)/(1-(1+(P182/360*AU182))^-AS182))*B182)*(1+AA182),0))))</f>
        <v>0</v>
      </c>
      <c r="E182" s="90"/>
      <c r="F182" s="90">
        <f t="shared" si="63"/>
        <v>0</v>
      </c>
      <c r="G182" s="90"/>
      <c r="H182" s="90">
        <f t="shared" si="64"/>
        <v>0</v>
      </c>
      <c r="I182" s="91"/>
      <c r="J182" s="92"/>
      <c r="K182" s="91"/>
      <c r="L182" s="90">
        <f>IF(Simulador!$T$41=1,0,J182*Simulador!$W$39*1.16)</f>
        <v>0</v>
      </c>
      <c r="M182" s="90"/>
      <c r="N182" s="93">
        <f t="shared" si="65"/>
        <v>0</v>
      </c>
      <c r="O182" s="12"/>
      <c r="P182" s="544">
        <f t="shared" si="66"/>
        <v>0</v>
      </c>
      <c r="Q182" s="4"/>
      <c r="R182" s="90">
        <f t="shared" si="67"/>
        <v>0</v>
      </c>
      <c r="S182" s="90"/>
      <c r="T182" s="90">
        <f>_xlfn.IFERROR(IF(Simulador!$U$30=1,0,IF($B182&lt;=0,0,$B182*Simulador!$AA$43)),0)</f>
        <v>0</v>
      </c>
      <c r="U182" s="90"/>
      <c r="V182" s="90">
        <f>_xlfn.IFERROR(IF(Simulador!$U$30=1,0,IF($B182&lt;=0,0,IF(Simulador!$D$22&gt;0,Simulador!$D$22,Simulador!$O$24)*Simulador!$AA$44)),0)</f>
        <v>0</v>
      </c>
      <c r="W182" s="90"/>
      <c r="X182" s="90"/>
      <c r="Y182" s="90">
        <f t="shared" si="46"/>
        <v>0</v>
      </c>
      <c r="Z182" s="13"/>
      <c r="AA182" s="18"/>
      <c r="AB182" s="23"/>
      <c r="AC182" s="364"/>
      <c r="AD182" s="222">
        <v>14</v>
      </c>
      <c r="AE182" s="219">
        <v>0</v>
      </c>
      <c r="AF182" s="269">
        <f t="shared" si="47"/>
        <v>0</v>
      </c>
      <c r="AG182" s="209">
        <f t="shared" si="48"/>
        <v>0</v>
      </c>
      <c r="AH182" s="209">
        <f t="shared" si="49"/>
        <v>0</v>
      </c>
      <c r="AI182" s="219">
        <f t="shared" si="50"/>
        <v>0</v>
      </c>
      <c r="AJ182" s="425">
        <f t="shared" si="51"/>
        <v>0</v>
      </c>
      <c r="AK182" s="57">
        <f t="shared" si="52"/>
        <v>0</v>
      </c>
      <c r="AL182" s="90">
        <f t="shared" si="53"/>
        <v>0</v>
      </c>
      <c r="AM182" s="58">
        <f t="shared" si="54"/>
        <v>0</v>
      </c>
      <c r="AN182" s="57">
        <f t="shared" si="55"/>
        <v>0</v>
      </c>
      <c r="AO182" s="432">
        <f t="shared" si="56"/>
        <v>0</v>
      </c>
      <c r="AP182" s="90">
        <f>_xlfn.IFERROR(IF(Simulador!$U$30=1,0,IF($AK182&lt;=0.01,0,$AK182*Simulador!$AA$43)),0)+_xlfn.IFERROR(IF(Simulador!$U$30=1,0,IF($AK182&lt;=0.01,0,IF(Simulador!$D$22&gt;0,Simulador!$D$22,Simulador!$O$24)*Simulador!$AA$44)),0)</f>
        <v>0</v>
      </c>
      <c r="AQ182" s="90">
        <f t="shared" si="57"/>
        <v>0</v>
      </c>
      <c r="AR182" s="26">
        <f t="shared" si="58"/>
        <v>0</v>
      </c>
      <c r="AS182">
        <f t="shared" si="59"/>
        <v>0</v>
      </c>
      <c r="AT182" s="549">
        <f t="shared" si="60"/>
      </c>
      <c r="AU182" s="404">
        <f t="shared" si="61"/>
        <v>0</v>
      </c>
      <c r="AV182" s="52">
        <v>120</v>
      </c>
      <c r="AW182" s="27"/>
      <c r="AX182" s="424"/>
      <c r="AZ182" s="52"/>
    </row>
    <row r="183" spans="1:52" ht="12.75">
      <c r="A183" s="503">
        <f t="shared" si="62"/>
        <v>169</v>
      </c>
      <c r="B183" s="89">
        <f t="shared" si="45"/>
        <v>0</v>
      </c>
      <c r="C183" s="89"/>
      <c r="D183" s="90">
        <f>IF(B183+F183-D182&lt;=0,B183+F183,IF(AND(OR(Simulador!$U$39=2,Simulador!$U$39=7),J182=0),_xlfn.IFERROR((((P183/360*AU183)/(1-(1+(P183/360*AU183))^-AS183))*B183)*(1+AA183),0),IF($AF$3=2,B183*AJ183,_xlfn.IFERROR((((P183/360*AU183)/(1-(1+(P183/360*AU183))^-AS183))*B183)*(1+AA183),0))))</f>
        <v>0</v>
      </c>
      <c r="E183" s="90"/>
      <c r="F183" s="90">
        <f t="shared" si="63"/>
        <v>0</v>
      </c>
      <c r="G183" s="90"/>
      <c r="H183" s="90">
        <f t="shared" si="64"/>
        <v>0</v>
      </c>
      <c r="I183" s="91"/>
      <c r="J183" s="92"/>
      <c r="K183" s="91"/>
      <c r="L183" s="90">
        <f>IF(Simulador!$T$41=1,0,J183*Simulador!$W$39*1.16)</f>
        <v>0</v>
      </c>
      <c r="M183" s="90"/>
      <c r="N183" s="93"/>
      <c r="O183" s="12"/>
      <c r="P183" s="544">
        <f t="shared" si="66"/>
        <v>0</v>
      </c>
      <c r="Q183" s="4"/>
      <c r="R183" s="90">
        <f t="shared" si="67"/>
        <v>0</v>
      </c>
      <c r="S183" s="90"/>
      <c r="T183" s="90">
        <f>_xlfn.IFERROR(IF(Simulador!$U$30=1,0,IF($B183&lt;=0,0,$B183*Simulador!$AA$43)),0)</f>
        <v>0</v>
      </c>
      <c r="U183" s="90"/>
      <c r="V183" s="90">
        <f>_xlfn.IFERROR(IF(Simulador!$U$30=1,0,IF($B183&lt;=0,0,IF(Simulador!$D$22&gt;0,Simulador!$D$22,Simulador!$O$24)*Simulador!$AA$44)),0)</f>
        <v>0</v>
      </c>
      <c r="W183" s="90"/>
      <c r="X183" s="90"/>
      <c r="Y183" s="90">
        <f t="shared" si="46"/>
        <v>0</v>
      </c>
      <c r="Z183" s="13"/>
      <c r="AA183" s="18"/>
      <c r="AB183" s="23"/>
      <c r="AC183" s="364"/>
      <c r="AD183" s="222">
        <v>14</v>
      </c>
      <c r="AE183" s="219">
        <v>1</v>
      </c>
      <c r="AF183" s="269">
        <f t="shared" si="47"/>
        <v>0</v>
      </c>
      <c r="AG183" s="209">
        <f t="shared" si="48"/>
        <v>0</v>
      </c>
      <c r="AH183" s="209">
        <f t="shared" si="49"/>
        <v>0</v>
      </c>
      <c r="AI183" s="219">
        <f t="shared" si="50"/>
        <v>0</v>
      </c>
      <c r="AJ183" s="425">
        <f t="shared" si="51"/>
        <v>0</v>
      </c>
      <c r="AK183" s="57">
        <f t="shared" si="52"/>
        <v>0</v>
      </c>
      <c r="AL183" s="90">
        <f t="shared" si="53"/>
        <v>0</v>
      </c>
      <c r="AM183" s="58">
        <f t="shared" si="54"/>
        <v>0</v>
      </c>
      <c r="AN183" s="57">
        <f t="shared" si="55"/>
        <v>0</v>
      </c>
      <c r="AO183" s="432">
        <f t="shared" si="56"/>
        <v>0</v>
      </c>
      <c r="AP183" s="90">
        <f>_xlfn.IFERROR(IF(Simulador!$U$30=1,0,IF($AK183&lt;=0.01,0,$AK183*Simulador!$AA$43)),0)+_xlfn.IFERROR(IF(Simulador!$U$30=1,0,IF($AK183&lt;=0.01,0,IF(Simulador!$D$22&gt;0,Simulador!$D$22,Simulador!$O$24)*Simulador!$AA$44)),0)</f>
        <v>0</v>
      </c>
      <c r="AQ183" s="90">
        <f t="shared" si="57"/>
        <v>0</v>
      </c>
      <c r="AR183" s="26">
        <f t="shared" si="58"/>
        <v>0</v>
      </c>
      <c r="AS183">
        <f t="shared" si="59"/>
        <v>0</v>
      </c>
      <c r="AT183" s="549">
        <f t="shared" si="60"/>
      </c>
      <c r="AU183" s="404">
        <f t="shared" si="61"/>
        <v>0</v>
      </c>
      <c r="AV183" s="52">
        <v>120</v>
      </c>
      <c r="AW183" s="27"/>
      <c r="AX183" s="424"/>
      <c r="AZ183" s="52"/>
    </row>
    <row r="184" spans="1:52" ht="12.75">
      <c r="A184" s="503">
        <f t="shared" si="62"/>
        <v>170</v>
      </c>
      <c r="B184" s="89">
        <f t="shared" si="45"/>
        <v>0</v>
      </c>
      <c r="C184" s="89"/>
      <c r="D184" s="90">
        <f>IF(B184+F184-D183&lt;=0,B184+F184,IF(AND(OR(Simulador!$U$39=2,Simulador!$U$39=7),J183=0),_xlfn.IFERROR((((P184/360*AU184)/(1-(1+(P184/360*AU184))^-AS184))*B184)*(1+AA184),0),IF($AF$3=2,B184*AJ184,_xlfn.IFERROR((((P184/360*AU184)/(1-(1+(P184/360*AU184))^-AS184))*B184)*(1+AA184),0))))</f>
        <v>0</v>
      </c>
      <c r="E184" s="90"/>
      <c r="F184" s="90">
        <f t="shared" si="63"/>
        <v>0</v>
      </c>
      <c r="G184" s="90"/>
      <c r="H184" s="90">
        <f t="shared" si="64"/>
        <v>0</v>
      </c>
      <c r="I184" s="91"/>
      <c r="J184" s="92"/>
      <c r="K184" s="91"/>
      <c r="L184" s="90">
        <f>IF(Simulador!$T$41=1,0,J184*Simulador!$W$39*1.16)</f>
        <v>0</v>
      </c>
      <c r="M184" s="90"/>
      <c r="N184" s="93">
        <f t="shared" si="65"/>
        <v>0</v>
      </c>
      <c r="O184" s="12"/>
      <c r="P184" s="544">
        <f t="shared" si="66"/>
        <v>0</v>
      </c>
      <c r="Q184" s="4"/>
      <c r="R184" s="90">
        <f t="shared" si="67"/>
        <v>0</v>
      </c>
      <c r="S184" s="90"/>
      <c r="T184" s="90">
        <f>_xlfn.IFERROR(IF(Simulador!$U$30=1,0,IF($B184&lt;=0,0,$B184*Simulador!$AA$43)),0)</f>
        <v>0</v>
      </c>
      <c r="U184" s="90"/>
      <c r="V184" s="90">
        <f>_xlfn.IFERROR(IF(Simulador!$U$30=1,0,IF($B184&lt;=0,0,IF(Simulador!$D$22&gt;0,Simulador!$D$22,Simulador!$O$24)*Simulador!$AA$44)),0)</f>
        <v>0</v>
      </c>
      <c r="W184" s="90"/>
      <c r="X184" s="90"/>
      <c r="Y184" s="90">
        <f t="shared" si="46"/>
        <v>0</v>
      </c>
      <c r="Z184" s="13"/>
      <c r="AA184" s="18"/>
      <c r="AB184" s="23"/>
      <c r="AC184" s="364"/>
      <c r="AD184" s="222">
        <v>14</v>
      </c>
      <c r="AE184" s="220">
        <v>2</v>
      </c>
      <c r="AF184" s="269">
        <f t="shared" si="47"/>
        <v>0</v>
      </c>
      <c r="AG184" s="209">
        <f t="shared" si="48"/>
        <v>0</v>
      </c>
      <c r="AH184" s="209">
        <f t="shared" si="49"/>
        <v>0</v>
      </c>
      <c r="AI184" s="219">
        <f t="shared" si="50"/>
        <v>0</v>
      </c>
      <c r="AJ184" s="425">
        <f t="shared" si="51"/>
        <v>0</v>
      </c>
      <c r="AK184" s="57">
        <f t="shared" si="52"/>
        <v>0</v>
      </c>
      <c r="AL184" s="90">
        <f t="shared" si="53"/>
        <v>0</v>
      </c>
      <c r="AM184" s="58">
        <f t="shared" si="54"/>
        <v>0</v>
      </c>
      <c r="AN184" s="57">
        <f t="shared" si="55"/>
        <v>0</v>
      </c>
      <c r="AO184" s="432">
        <f t="shared" si="56"/>
        <v>0</v>
      </c>
      <c r="AP184" s="90">
        <f>_xlfn.IFERROR(IF(Simulador!$U$30=1,0,IF($AK184&lt;=0.01,0,$AK184*Simulador!$AA$43)),0)+_xlfn.IFERROR(IF(Simulador!$U$30=1,0,IF($AK184&lt;=0.01,0,IF(Simulador!$D$22&gt;0,Simulador!$D$22,Simulador!$O$24)*Simulador!$AA$44)),0)</f>
        <v>0</v>
      </c>
      <c r="AQ184" s="90">
        <f t="shared" si="57"/>
        <v>0</v>
      </c>
      <c r="AR184" s="26">
        <f t="shared" si="58"/>
        <v>0</v>
      </c>
      <c r="AS184">
        <f t="shared" si="59"/>
        <v>0</v>
      </c>
      <c r="AT184" s="549">
        <f t="shared" si="60"/>
      </c>
      <c r="AU184" s="404">
        <f t="shared" si="61"/>
        <v>0</v>
      </c>
      <c r="AV184" s="52">
        <v>120</v>
      </c>
      <c r="AW184" s="27"/>
      <c r="AX184" s="424"/>
      <c r="AZ184" s="52"/>
    </row>
    <row r="185" spans="1:52" ht="12.75">
      <c r="A185" s="503">
        <f t="shared" si="62"/>
        <v>171</v>
      </c>
      <c r="B185" s="89">
        <f t="shared" si="45"/>
        <v>0</v>
      </c>
      <c r="C185" s="89"/>
      <c r="D185" s="90">
        <f>IF(B185+F185-D184&lt;=0,B185+F185,IF(AND(OR(Simulador!$U$39=2,Simulador!$U$39=7),J184=0),_xlfn.IFERROR((((P185/360*AU185)/(1-(1+(P185/360*AU185))^-AS185))*B185)*(1+AA185),0),IF($AF$3=2,B185*AJ185,_xlfn.IFERROR((((P185/360*AU185)/(1-(1+(P185/360*AU185))^-AS185))*B185)*(1+AA185),0))))</f>
        <v>0</v>
      </c>
      <c r="E185" s="90"/>
      <c r="F185" s="90">
        <f t="shared" si="63"/>
        <v>0</v>
      </c>
      <c r="G185" s="90"/>
      <c r="H185" s="90">
        <f t="shared" si="64"/>
        <v>0</v>
      </c>
      <c r="I185" s="91"/>
      <c r="J185" s="92"/>
      <c r="K185" s="91"/>
      <c r="L185" s="90">
        <f>IF(Simulador!$T$41=1,0,J185*Simulador!$W$39*1.16)</f>
        <v>0</v>
      </c>
      <c r="M185" s="90"/>
      <c r="N185" s="93"/>
      <c r="O185" s="12"/>
      <c r="P185" s="544">
        <f t="shared" si="66"/>
        <v>0</v>
      </c>
      <c r="Q185" s="4"/>
      <c r="R185" s="90">
        <f t="shared" si="67"/>
        <v>0</v>
      </c>
      <c r="S185" s="90"/>
      <c r="T185" s="90">
        <f>_xlfn.IFERROR(IF(Simulador!$U$30=1,0,IF($B185&lt;=0,0,$B185*Simulador!$AA$43)),0)</f>
        <v>0</v>
      </c>
      <c r="U185" s="90"/>
      <c r="V185" s="90">
        <f>_xlfn.IFERROR(IF(Simulador!$U$30=1,0,IF($B185&lt;=0,0,IF(Simulador!$D$22&gt;0,Simulador!$D$22,Simulador!$O$24)*Simulador!$AA$44)),0)</f>
        <v>0</v>
      </c>
      <c r="W185" s="90"/>
      <c r="X185" s="90"/>
      <c r="Y185" s="90">
        <f t="shared" si="46"/>
        <v>0</v>
      </c>
      <c r="Z185" s="13"/>
      <c r="AA185" s="18"/>
      <c r="AB185" s="23"/>
      <c r="AC185" s="364"/>
      <c r="AD185" s="222">
        <v>14</v>
      </c>
      <c r="AE185" s="220">
        <v>3</v>
      </c>
      <c r="AF185" s="269">
        <f t="shared" si="47"/>
        <v>0</v>
      </c>
      <c r="AG185" s="209">
        <f t="shared" si="48"/>
        <v>0</v>
      </c>
      <c r="AH185" s="209">
        <f t="shared" si="49"/>
        <v>0</v>
      </c>
      <c r="AI185" s="219">
        <f t="shared" si="50"/>
        <v>0</v>
      </c>
      <c r="AJ185" s="425">
        <f t="shared" si="51"/>
        <v>0</v>
      </c>
      <c r="AK185" s="57">
        <f t="shared" si="52"/>
        <v>0</v>
      </c>
      <c r="AL185" s="90">
        <f t="shared" si="53"/>
        <v>0</v>
      </c>
      <c r="AM185" s="58">
        <f t="shared" si="54"/>
        <v>0</v>
      </c>
      <c r="AN185" s="57">
        <f t="shared" si="55"/>
        <v>0</v>
      </c>
      <c r="AO185" s="432">
        <f t="shared" si="56"/>
        <v>0</v>
      </c>
      <c r="AP185" s="90">
        <f>_xlfn.IFERROR(IF(Simulador!$U$30=1,0,IF($AK185&lt;=0.01,0,$AK185*Simulador!$AA$43)),0)+_xlfn.IFERROR(IF(Simulador!$U$30=1,0,IF($AK185&lt;=0.01,0,IF(Simulador!$D$22&gt;0,Simulador!$D$22,Simulador!$O$24)*Simulador!$AA$44)),0)</f>
        <v>0</v>
      </c>
      <c r="AQ185" s="90">
        <f t="shared" si="57"/>
        <v>0</v>
      </c>
      <c r="AR185" s="26">
        <f t="shared" si="58"/>
        <v>0</v>
      </c>
      <c r="AS185">
        <f t="shared" si="59"/>
        <v>0</v>
      </c>
      <c r="AT185" s="549">
        <f t="shared" si="60"/>
      </c>
      <c r="AU185" s="404">
        <f t="shared" si="61"/>
        <v>0</v>
      </c>
      <c r="AV185" s="52">
        <v>120</v>
      </c>
      <c r="AW185" s="27"/>
      <c r="AX185" s="424"/>
      <c r="AZ185" s="52"/>
    </row>
    <row r="186" spans="1:52" ht="12.75">
      <c r="A186" s="503">
        <f t="shared" si="62"/>
        <v>172</v>
      </c>
      <c r="B186" s="89">
        <f t="shared" si="45"/>
        <v>0</v>
      </c>
      <c r="C186" s="89"/>
      <c r="D186" s="90">
        <f>IF(B186+F186-D185&lt;=0,B186+F186,IF(AND(OR(Simulador!$U$39=2,Simulador!$U$39=7),J185=0),_xlfn.IFERROR((((P186/360*AU186)/(1-(1+(P186/360*AU186))^-AS186))*B186)*(1+AA186),0),IF($AF$3=2,B186*AJ186,_xlfn.IFERROR((((P186/360*AU186)/(1-(1+(P186/360*AU186))^-AS186))*B186)*(1+AA186),0))))</f>
        <v>0</v>
      </c>
      <c r="E186" s="90"/>
      <c r="F186" s="90">
        <f t="shared" si="63"/>
        <v>0</v>
      </c>
      <c r="G186" s="90"/>
      <c r="H186" s="90">
        <f t="shared" si="64"/>
        <v>0</v>
      </c>
      <c r="I186" s="91"/>
      <c r="J186" s="92"/>
      <c r="K186" s="91"/>
      <c r="L186" s="90">
        <f>IF(Simulador!$T$41=1,0,J186*Simulador!$W$39*1.16)</f>
        <v>0</v>
      </c>
      <c r="M186" s="90"/>
      <c r="N186" s="93">
        <f t="shared" si="65"/>
        <v>0</v>
      </c>
      <c r="O186" s="12"/>
      <c r="P186" s="544">
        <f t="shared" si="66"/>
        <v>0</v>
      </c>
      <c r="Q186" s="4"/>
      <c r="R186" s="90">
        <f t="shared" si="67"/>
        <v>0</v>
      </c>
      <c r="S186" s="90"/>
      <c r="T186" s="90">
        <f>_xlfn.IFERROR(IF(Simulador!$U$30=1,0,IF($B186&lt;=0,0,$B186*Simulador!$AA$43)),0)</f>
        <v>0</v>
      </c>
      <c r="U186" s="90"/>
      <c r="V186" s="90">
        <f>_xlfn.IFERROR(IF(Simulador!$U$30=1,0,IF($B186&lt;=0,0,IF(Simulador!$D$22&gt;0,Simulador!$D$22,Simulador!$O$24)*Simulador!$AA$44)),0)</f>
        <v>0</v>
      </c>
      <c r="W186" s="90"/>
      <c r="X186" s="90"/>
      <c r="Y186" s="90">
        <f t="shared" si="46"/>
        <v>0</v>
      </c>
      <c r="Z186" s="13"/>
      <c r="AA186" s="18"/>
      <c r="AB186" s="23"/>
      <c r="AC186" s="364"/>
      <c r="AD186" s="222">
        <v>14</v>
      </c>
      <c r="AE186" s="219">
        <v>4</v>
      </c>
      <c r="AF186" s="269">
        <f t="shared" si="47"/>
        <v>0</v>
      </c>
      <c r="AG186" s="209">
        <f t="shared" si="48"/>
        <v>0</v>
      </c>
      <c r="AH186" s="209">
        <f t="shared" si="49"/>
        <v>0</v>
      </c>
      <c r="AI186" s="219">
        <f t="shared" si="50"/>
        <v>0</v>
      </c>
      <c r="AJ186" s="425">
        <f t="shared" si="51"/>
        <v>0</v>
      </c>
      <c r="AK186" s="57">
        <f t="shared" si="52"/>
        <v>0</v>
      </c>
      <c r="AL186" s="90">
        <f t="shared" si="53"/>
        <v>0</v>
      </c>
      <c r="AM186" s="58">
        <f t="shared" si="54"/>
        <v>0</v>
      </c>
      <c r="AN186" s="57">
        <f t="shared" si="55"/>
        <v>0</v>
      </c>
      <c r="AO186" s="432">
        <f t="shared" si="56"/>
        <v>0</v>
      </c>
      <c r="AP186" s="90">
        <f>_xlfn.IFERROR(IF(Simulador!$U$30=1,0,IF($AK186&lt;=0.01,0,$AK186*Simulador!$AA$43)),0)+_xlfn.IFERROR(IF(Simulador!$U$30=1,0,IF($AK186&lt;=0.01,0,IF(Simulador!$D$22&gt;0,Simulador!$D$22,Simulador!$O$24)*Simulador!$AA$44)),0)</f>
        <v>0</v>
      </c>
      <c r="AQ186" s="90">
        <f t="shared" si="57"/>
        <v>0</v>
      </c>
      <c r="AR186" s="26">
        <f t="shared" si="58"/>
        <v>0</v>
      </c>
      <c r="AS186">
        <f t="shared" si="59"/>
        <v>0</v>
      </c>
      <c r="AT186" s="549">
        <f t="shared" si="60"/>
      </c>
      <c r="AU186" s="404">
        <f t="shared" si="61"/>
        <v>0</v>
      </c>
      <c r="AV186" s="52">
        <v>120</v>
      </c>
      <c r="AW186" s="27"/>
      <c r="AX186" s="424"/>
      <c r="AZ186" s="52"/>
    </row>
    <row r="187" spans="1:52" ht="12.75">
      <c r="A187" s="503">
        <f t="shared" si="62"/>
        <v>173</v>
      </c>
      <c r="B187" s="89">
        <f t="shared" si="45"/>
        <v>0</v>
      </c>
      <c r="C187" s="89"/>
      <c r="D187" s="90">
        <f>IF(B187+F187-D186&lt;=0,B187+F187,IF(AND(OR(Simulador!$U$39=2,Simulador!$U$39=7),J186=0),_xlfn.IFERROR((((P187/360*AU187)/(1-(1+(P187/360*AU187))^-AS187))*B187)*(1+AA187),0),IF($AF$3=2,B187*AJ187,_xlfn.IFERROR((((P187/360*AU187)/(1-(1+(P187/360*AU187))^-AS187))*B187)*(1+AA187),0))))</f>
        <v>0</v>
      </c>
      <c r="E187" s="90"/>
      <c r="F187" s="90">
        <f t="shared" si="63"/>
        <v>0</v>
      </c>
      <c r="G187" s="90"/>
      <c r="H187" s="90">
        <f t="shared" si="64"/>
        <v>0</v>
      </c>
      <c r="I187" s="91"/>
      <c r="J187" s="92"/>
      <c r="K187" s="91"/>
      <c r="L187" s="90">
        <f>IF(Simulador!$T$41=1,0,J187*Simulador!$W$39*1.16)</f>
        <v>0</v>
      </c>
      <c r="M187" s="90"/>
      <c r="N187" s="93"/>
      <c r="O187" s="12"/>
      <c r="P187" s="544">
        <f t="shared" si="66"/>
        <v>0</v>
      </c>
      <c r="Q187" s="4"/>
      <c r="R187" s="90">
        <f t="shared" si="67"/>
        <v>0</v>
      </c>
      <c r="S187" s="90"/>
      <c r="T187" s="90">
        <f>_xlfn.IFERROR(IF(Simulador!$U$30=1,0,IF($B187&lt;=0,0,$B187*Simulador!$AA$43)),0)</f>
        <v>0</v>
      </c>
      <c r="U187" s="90"/>
      <c r="V187" s="90">
        <f>_xlfn.IFERROR(IF(Simulador!$U$30=1,0,IF($B187&lt;=0,0,IF(Simulador!$D$22&gt;0,Simulador!$D$22,Simulador!$O$24)*Simulador!$AA$44)),0)</f>
        <v>0</v>
      </c>
      <c r="W187" s="90"/>
      <c r="X187" s="90"/>
      <c r="Y187" s="90">
        <f t="shared" si="46"/>
        <v>0</v>
      </c>
      <c r="Z187" s="13"/>
      <c r="AA187" s="18"/>
      <c r="AB187" s="23"/>
      <c r="AC187" s="364"/>
      <c r="AD187" s="222">
        <v>14</v>
      </c>
      <c r="AE187" s="219">
        <v>5</v>
      </c>
      <c r="AF187" s="269">
        <f t="shared" si="47"/>
        <v>0</v>
      </c>
      <c r="AG187" s="209">
        <f t="shared" si="48"/>
        <v>0</v>
      </c>
      <c r="AH187" s="209">
        <f t="shared" si="49"/>
        <v>0</v>
      </c>
      <c r="AI187" s="219">
        <f t="shared" si="50"/>
        <v>0</v>
      </c>
      <c r="AJ187" s="425">
        <f t="shared" si="51"/>
        <v>0</v>
      </c>
      <c r="AK187" s="57">
        <f t="shared" si="52"/>
        <v>0</v>
      </c>
      <c r="AL187" s="90">
        <f t="shared" si="53"/>
        <v>0</v>
      </c>
      <c r="AM187" s="58">
        <f t="shared" si="54"/>
        <v>0</v>
      </c>
      <c r="AN187" s="57">
        <f t="shared" si="55"/>
        <v>0</v>
      </c>
      <c r="AO187" s="432">
        <f t="shared" si="56"/>
        <v>0</v>
      </c>
      <c r="AP187" s="90">
        <f>_xlfn.IFERROR(IF(Simulador!$U$30=1,0,IF($AK187&lt;=0.01,0,$AK187*Simulador!$AA$43)),0)+_xlfn.IFERROR(IF(Simulador!$U$30=1,0,IF($AK187&lt;=0.01,0,IF(Simulador!$D$22&gt;0,Simulador!$D$22,Simulador!$O$24)*Simulador!$AA$44)),0)</f>
        <v>0</v>
      </c>
      <c r="AQ187" s="90">
        <f t="shared" si="57"/>
        <v>0</v>
      </c>
      <c r="AR187" s="26">
        <f t="shared" si="58"/>
        <v>0</v>
      </c>
      <c r="AS187">
        <f t="shared" si="59"/>
        <v>0</v>
      </c>
      <c r="AT187" s="549">
        <f t="shared" si="60"/>
      </c>
      <c r="AU187" s="404">
        <f t="shared" si="61"/>
        <v>0</v>
      </c>
      <c r="AV187" s="52">
        <v>120</v>
      </c>
      <c r="AW187" s="27"/>
      <c r="AX187" s="424"/>
      <c r="AZ187" s="52"/>
    </row>
    <row r="188" spans="1:52" ht="12.75">
      <c r="A188" s="503">
        <f t="shared" si="62"/>
        <v>174</v>
      </c>
      <c r="B188" s="89">
        <f t="shared" si="45"/>
        <v>0</v>
      </c>
      <c r="C188" s="89"/>
      <c r="D188" s="90">
        <f>IF(B188+F188-D187&lt;=0,B188+F188,IF(AND(OR(Simulador!$U$39=2,Simulador!$U$39=7),J187=0),_xlfn.IFERROR((((P188/360*AU188)/(1-(1+(P188/360*AU188))^-AS188))*B188)*(1+AA188),0),IF($AF$3=2,B188*AJ188,_xlfn.IFERROR((((P188/360*AU188)/(1-(1+(P188/360*AU188))^-AS188))*B188)*(1+AA188),0))))</f>
        <v>0</v>
      </c>
      <c r="E188" s="90"/>
      <c r="F188" s="90">
        <f t="shared" si="63"/>
        <v>0</v>
      </c>
      <c r="G188" s="90"/>
      <c r="H188" s="90">
        <f t="shared" si="64"/>
        <v>0</v>
      </c>
      <c r="I188" s="91"/>
      <c r="J188" s="92"/>
      <c r="K188" s="91"/>
      <c r="L188" s="90">
        <f>IF(Simulador!$T$41=1,0,J188*Simulador!$W$39*1.16)</f>
        <v>0</v>
      </c>
      <c r="M188" s="90"/>
      <c r="N188" s="93">
        <f t="shared" si="65"/>
        <v>0</v>
      </c>
      <c r="O188" s="12"/>
      <c r="P188" s="544">
        <f t="shared" si="66"/>
        <v>0</v>
      </c>
      <c r="Q188" s="4"/>
      <c r="R188" s="90">
        <f t="shared" si="67"/>
        <v>0</v>
      </c>
      <c r="S188" s="90"/>
      <c r="T188" s="90">
        <f>_xlfn.IFERROR(IF(Simulador!$U$30=1,0,IF($B188&lt;=0,0,$B188*Simulador!$AA$43)),0)</f>
        <v>0</v>
      </c>
      <c r="U188" s="90"/>
      <c r="V188" s="90">
        <f>_xlfn.IFERROR(IF(Simulador!$U$30=1,0,IF($B188&lt;=0,0,IF(Simulador!$D$22&gt;0,Simulador!$D$22,Simulador!$O$24)*Simulador!$AA$44)),0)</f>
        <v>0</v>
      </c>
      <c r="W188" s="90"/>
      <c r="X188" s="90"/>
      <c r="Y188" s="90">
        <f t="shared" si="46"/>
        <v>0</v>
      </c>
      <c r="Z188" s="13"/>
      <c r="AA188" s="18"/>
      <c r="AB188" s="23"/>
      <c r="AC188" s="364"/>
      <c r="AD188" s="222">
        <v>14</v>
      </c>
      <c r="AE188" s="219">
        <v>6</v>
      </c>
      <c r="AF188" s="269">
        <f t="shared" si="47"/>
        <v>0</v>
      </c>
      <c r="AG188" s="209">
        <f t="shared" si="48"/>
        <v>0</v>
      </c>
      <c r="AH188" s="209">
        <f t="shared" si="49"/>
        <v>0</v>
      </c>
      <c r="AI188" s="219">
        <f t="shared" si="50"/>
        <v>0</v>
      </c>
      <c r="AJ188" s="425">
        <f t="shared" si="51"/>
        <v>0</v>
      </c>
      <c r="AK188" s="57">
        <f t="shared" si="52"/>
        <v>0</v>
      </c>
      <c r="AL188" s="90">
        <f t="shared" si="53"/>
        <v>0</v>
      </c>
      <c r="AM188" s="58">
        <f t="shared" si="54"/>
        <v>0</v>
      </c>
      <c r="AN188" s="57">
        <f t="shared" si="55"/>
        <v>0</v>
      </c>
      <c r="AO188" s="432">
        <f t="shared" si="56"/>
        <v>0</v>
      </c>
      <c r="AP188" s="90">
        <f>_xlfn.IFERROR(IF(Simulador!$U$30=1,0,IF($AK188&lt;=0.01,0,$AK188*Simulador!$AA$43)),0)+_xlfn.IFERROR(IF(Simulador!$U$30=1,0,IF($AK188&lt;=0.01,0,IF(Simulador!$D$22&gt;0,Simulador!$D$22,Simulador!$O$24)*Simulador!$AA$44)),0)</f>
        <v>0</v>
      </c>
      <c r="AQ188" s="90">
        <f t="shared" si="57"/>
        <v>0</v>
      </c>
      <c r="AR188" s="26">
        <f t="shared" si="58"/>
        <v>0</v>
      </c>
      <c r="AS188">
        <f t="shared" si="59"/>
        <v>0</v>
      </c>
      <c r="AT188" s="549">
        <f t="shared" si="60"/>
      </c>
      <c r="AU188" s="404">
        <f t="shared" si="61"/>
        <v>0</v>
      </c>
      <c r="AV188" s="52">
        <v>120</v>
      </c>
      <c r="AW188" s="27"/>
      <c r="AX188" s="424"/>
      <c r="AZ188" s="52"/>
    </row>
    <row r="189" spans="1:52" ht="12.75">
      <c r="A189" s="503">
        <f t="shared" si="62"/>
        <v>175</v>
      </c>
      <c r="B189" s="89">
        <f t="shared" si="45"/>
        <v>0</v>
      </c>
      <c r="C189" s="89"/>
      <c r="D189" s="90">
        <f>IF(B189+F189-D188&lt;=0,B189+F189,IF(AND(OR(Simulador!$U$39=2,Simulador!$U$39=7),J188=0),_xlfn.IFERROR((((P189/360*AU189)/(1-(1+(P189/360*AU189))^-AS189))*B189)*(1+AA189),0),IF($AF$3=2,B189*AJ189,_xlfn.IFERROR((((P189/360*AU189)/(1-(1+(P189/360*AU189))^-AS189))*B189)*(1+AA189),0))))</f>
        <v>0</v>
      </c>
      <c r="E189" s="90"/>
      <c r="F189" s="90">
        <f t="shared" si="63"/>
        <v>0</v>
      </c>
      <c r="G189" s="90"/>
      <c r="H189" s="90">
        <f t="shared" si="64"/>
        <v>0</v>
      </c>
      <c r="I189" s="91"/>
      <c r="J189" s="92"/>
      <c r="K189" s="91"/>
      <c r="L189" s="90">
        <f>IF(Simulador!$T$41=1,0,J189*Simulador!$W$39*1.16)</f>
        <v>0</v>
      </c>
      <c r="M189" s="90"/>
      <c r="N189" s="93"/>
      <c r="O189" s="12"/>
      <c r="P189" s="544">
        <f t="shared" si="66"/>
        <v>0</v>
      </c>
      <c r="Q189" s="4"/>
      <c r="R189" s="90">
        <f t="shared" si="67"/>
        <v>0</v>
      </c>
      <c r="S189" s="90"/>
      <c r="T189" s="90">
        <f>_xlfn.IFERROR(IF(Simulador!$U$30=1,0,IF($B189&lt;=0,0,$B189*Simulador!$AA$43)),0)</f>
        <v>0</v>
      </c>
      <c r="U189" s="90"/>
      <c r="V189" s="90">
        <f>_xlfn.IFERROR(IF(Simulador!$U$30=1,0,IF($B189&lt;=0,0,IF(Simulador!$D$22&gt;0,Simulador!$D$22,Simulador!$O$24)*Simulador!$AA$44)),0)</f>
        <v>0</v>
      </c>
      <c r="W189" s="90"/>
      <c r="X189" s="90"/>
      <c r="Y189" s="90">
        <f t="shared" si="46"/>
        <v>0</v>
      </c>
      <c r="Z189" s="13"/>
      <c r="AA189" s="18"/>
      <c r="AB189" s="23"/>
      <c r="AC189" s="364"/>
      <c r="AD189" s="222">
        <v>14</v>
      </c>
      <c r="AE189" s="219">
        <v>7</v>
      </c>
      <c r="AF189" s="269">
        <f t="shared" si="47"/>
        <v>0</v>
      </c>
      <c r="AG189" s="209">
        <f t="shared" si="48"/>
        <v>0</v>
      </c>
      <c r="AH189" s="209">
        <f t="shared" si="49"/>
        <v>0</v>
      </c>
      <c r="AI189" s="219">
        <f t="shared" si="50"/>
        <v>0</v>
      </c>
      <c r="AJ189" s="425">
        <f t="shared" si="51"/>
        <v>0</v>
      </c>
      <c r="AK189" s="57">
        <f t="shared" si="52"/>
        <v>0</v>
      </c>
      <c r="AL189" s="90">
        <f t="shared" si="53"/>
        <v>0</v>
      </c>
      <c r="AM189" s="58">
        <f t="shared" si="54"/>
        <v>0</v>
      </c>
      <c r="AN189" s="57">
        <f t="shared" si="55"/>
        <v>0</v>
      </c>
      <c r="AO189" s="432">
        <f t="shared" si="56"/>
        <v>0</v>
      </c>
      <c r="AP189" s="90">
        <f>_xlfn.IFERROR(IF(Simulador!$U$30=1,0,IF($AK189&lt;=0.01,0,$AK189*Simulador!$AA$43)),0)+_xlfn.IFERROR(IF(Simulador!$U$30=1,0,IF($AK189&lt;=0.01,0,IF(Simulador!$D$22&gt;0,Simulador!$D$22,Simulador!$O$24)*Simulador!$AA$44)),0)</f>
        <v>0</v>
      </c>
      <c r="AQ189" s="90">
        <f t="shared" si="57"/>
        <v>0</v>
      </c>
      <c r="AR189" s="26">
        <f t="shared" si="58"/>
        <v>0</v>
      </c>
      <c r="AS189">
        <f t="shared" si="59"/>
        <v>0</v>
      </c>
      <c r="AT189" s="549">
        <f t="shared" si="60"/>
      </c>
      <c r="AU189" s="404">
        <f t="shared" si="61"/>
        <v>0</v>
      </c>
      <c r="AV189" s="52">
        <v>120</v>
      </c>
      <c r="AW189" s="27"/>
      <c r="AX189" s="424"/>
      <c r="AZ189" s="52"/>
    </row>
    <row r="190" spans="1:52" ht="12.75">
      <c r="A190" s="503">
        <f t="shared" si="62"/>
        <v>176</v>
      </c>
      <c r="B190" s="89">
        <f t="shared" si="45"/>
        <v>0</v>
      </c>
      <c r="C190" s="89"/>
      <c r="D190" s="90">
        <f>IF(B190+F190-D189&lt;=0,B190+F190,IF(AND(OR(Simulador!$U$39=2,Simulador!$U$39=7),J189=0),_xlfn.IFERROR((((P190/360*AU190)/(1-(1+(P190/360*AU190))^-AS190))*B190)*(1+AA190),0),IF($AF$3=2,B190*AJ190,_xlfn.IFERROR((((P190/360*AU190)/(1-(1+(P190/360*AU190))^-AS190))*B190)*(1+AA190),0))))</f>
        <v>0</v>
      </c>
      <c r="E190" s="90"/>
      <c r="F190" s="90">
        <f t="shared" si="63"/>
        <v>0</v>
      </c>
      <c r="G190" s="90"/>
      <c r="H190" s="90">
        <f t="shared" si="64"/>
        <v>0</v>
      </c>
      <c r="I190" s="91"/>
      <c r="J190" s="92"/>
      <c r="K190" s="91"/>
      <c r="L190" s="90">
        <f>IF(Simulador!$T$41=1,0,J190*Simulador!$W$39*1.16)</f>
        <v>0</v>
      </c>
      <c r="M190" s="90"/>
      <c r="N190" s="93">
        <f t="shared" si="65"/>
        <v>0</v>
      </c>
      <c r="O190" s="12"/>
      <c r="P190" s="544">
        <f t="shared" si="66"/>
        <v>0</v>
      </c>
      <c r="Q190" s="4"/>
      <c r="R190" s="90">
        <f t="shared" si="67"/>
        <v>0</v>
      </c>
      <c r="S190" s="90"/>
      <c r="T190" s="90">
        <f>_xlfn.IFERROR(IF(Simulador!$U$30=1,0,IF($B190&lt;=0,0,$B190*Simulador!$AA$43)),0)</f>
        <v>0</v>
      </c>
      <c r="U190" s="90"/>
      <c r="V190" s="90">
        <f>_xlfn.IFERROR(IF(Simulador!$U$30=1,0,IF($B190&lt;=0,0,IF(Simulador!$D$22&gt;0,Simulador!$D$22,Simulador!$O$24)*Simulador!$AA$44)),0)</f>
        <v>0</v>
      </c>
      <c r="W190" s="90"/>
      <c r="X190" s="90"/>
      <c r="Y190" s="90">
        <f t="shared" si="46"/>
        <v>0</v>
      </c>
      <c r="Z190" s="13"/>
      <c r="AA190" s="18"/>
      <c r="AB190" s="23"/>
      <c r="AC190" s="364"/>
      <c r="AD190" s="222">
        <v>14</v>
      </c>
      <c r="AE190" s="219">
        <v>8</v>
      </c>
      <c r="AF190" s="269">
        <f t="shared" si="47"/>
        <v>0</v>
      </c>
      <c r="AG190" s="209">
        <f t="shared" si="48"/>
        <v>0</v>
      </c>
      <c r="AH190" s="209">
        <f t="shared" si="49"/>
        <v>0</v>
      </c>
      <c r="AI190" s="219">
        <f t="shared" si="50"/>
        <v>0</v>
      </c>
      <c r="AJ190" s="425">
        <f t="shared" si="51"/>
        <v>0</v>
      </c>
      <c r="AK190" s="57">
        <f t="shared" si="52"/>
        <v>0</v>
      </c>
      <c r="AL190" s="90">
        <f t="shared" si="53"/>
        <v>0</v>
      </c>
      <c r="AM190" s="58">
        <f t="shared" si="54"/>
        <v>0</v>
      </c>
      <c r="AN190" s="57">
        <f t="shared" si="55"/>
        <v>0</v>
      </c>
      <c r="AO190" s="432">
        <f t="shared" si="56"/>
        <v>0</v>
      </c>
      <c r="AP190" s="90">
        <f>_xlfn.IFERROR(IF(Simulador!$U$30=1,0,IF($AK190&lt;=0.01,0,$AK190*Simulador!$AA$43)),0)+_xlfn.IFERROR(IF(Simulador!$U$30=1,0,IF($AK190&lt;=0.01,0,IF(Simulador!$D$22&gt;0,Simulador!$D$22,Simulador!$O$24)*Simulador!$AA$44)),0)</f>
        <v>0</v>
      </c>
      <c r="AQ190" s="90">
        <f t="shared" si="57"/>
        <v>0</v>
      </c>
      <c r="AR190" s="26">
        <f t="shared" si="58"/>
        <v>0</v>
      </c>
      <c r="AS190">
        <f t="shared" si="59"/>
        <v>0</v>
      </c>
      <c r="AT190" s="549">
        <f t="shared" si="60"/>
      </c>
      <c r="AU190" s="404">
        <f t="shared" si="61"/>
        <v>0</v>
      </c>
      <c r="AV190" s="52">
        <v>120</v>
      </c>
      <c r="AW190" s="27"/>
      <c r="AX190" s="424"/>
      <c r="AZ190" s="52"/>
    </row>
    <row r="191" spans="1:52" ht="12.75">
      <c r="A191" s="503">
        <f t="shared" si="62"/>
        <v>177</v>
      </c>
      <c r="B191" s="89">
        <f t="shared" si="45"/>
        <v>0</v>
      </c>
      <c r="C191" s="89"/>
      <c r="D191" s="90">
        <f>IF(B191+F191-D190&lt;=0,B191+F191,IF(AND(OR(Simulador!$U$39=2,Simulador!$U$39=7),J190=0),_xlfn.IFERROR((((P191/360*AU191)/(1-(1+(P191/360*AU191))^-AS191))*B191)*(1+AA191),0),IF($AF$3=2,B191*AJ191,_xlfn.IFERROR((((P191/360*AU191)/(1-(1+(P191/360*AU191))^-AS191))*B191)*(1+AA191),0))))</f>
        <v>0</v>
      </c>
      <c r="E191" s="90"/>
      <c r="F191" s="90">
        <f t="shared" si="63"/>
        <v>0</v>
      </c>
      <c r="G191" s="90"/>
      <c r="H191" s="90">
        <f t="shared" si="64"/>
        <v>0</v>
      </c>
      <c r="I191" s="91"/>
      <c r="J191" s="92"/>
      <c r="K191" s="91"/>
      <c r="L191" s="90">
        <f>IF(Simulador!$T$41=1,0,J191*Simulador!$W$39*1.16)</f>
        <v>0</v>
      </c>
      <c r="M191" s="90"/>
      <c r="N191" s="93"/>
      <c r="O191" s="12"/>
      <c r="P191" s="544">
        <f t="shared" si="66"/>
        <v>0</v>
      </c>
      <c r="Q191" s="4"/>
      <c r="R191" s="90">
        <f t="shared" si="67"/>
        <v>0</v>
      </c>
      <c r="S191" s="90"/>
      <c r="T191" s="90">
        <f>_xlfn.IFERROR(IF(Simulador!$U$30=1,0,IF($B191&lt;=0,0,$B191*Simulador!$AA$43)),0)</f>
        <v>0</v>
      </c>
      <c r="U191" s="90"/>
      <c r="V191" s="90">
        <f>_xlfn.IFERROR(IF(Simulador!$U$30=1,0,IF($B191&lt;=0,0,IF(Simulador!$D$22&gt;0,Simulador!$D$22,Simulador!$O$24)*Simulador!$AA$44)),0)</f>
        <v>0</v>
      </c>
      <c r="W191" s="90"/>
      <c r="X191" s="90"/>
      <c r="Y191" s="90">
        <f t="shared" si="46"/>
        <v>0</v>
      </c>
      <c r="Z191" s="13"/>
      <c r="AA191" s="18"/>
      <c r="AB191" s="23"/>
      <c r="AC191" s="364"/>
      <c r="AD191" s="222">
        <v>14</v>
      </c>
      <c r="AE191" s="221">
        <v>9</v>
      </c>
      <c r="AF191" s="269">
        <f t="shared" si="47"/>
        <v>0</v>
      </c>
      <c r="AG191" s="209">
        <f t="shared" si="48"/>
        <v>0</v>
      </c>
      <c r="AH191" s="209">
        <f t="shared" si="49"/>
        <v>0</v>
      </c>
      <c r="AI191" s="219">
        <f t="shared" si="50"/>
        <v>0</v>
      </c>
      <c r="AJ191" s="425">
        <f t="shared" si="51"/>
        <v>0</v>
      </c>
      <c r="AK191" s="57">
        <f t="shared" si="52"/>
        <v>0</v>
      </c>
      <c r="AL191" s="90">
        <f t="shared" si="53"/>
        <v>0</v>
      </c>
      <c r="AM191" s="58">
        <f t="shared" si="54"/>
        <v>0</v>
      </c>
      <c r="AN191" s="57">
        <f t="shared" si="55"/>
        <v>0</v>
      </c>
      <c r="AO191" s="432">
        <f t="shared" si="56"/>
        <v>0</v>
      </c>
      <c r="AP191" s="90">
        <f>_xlfn.IFERROR(IF(Simulador!$U$30=1,0,IF($AK191&lt;=0.01,0,$AK191*Simulador!$AA$43)),0)+_xlfn.IFERROR(IF(Simulador!$U$30=1,0,IF($AK191&lt;=0.01,0,IF(Simulador!$D$22&gt;0,Simulador!$D$22,Simulador!$O$24)*Simulador!$AA$44)),0)</f>
        <v>0</v>
      </c>
      <c r="AQ191" s="90">
        <f t="shared" si="57"/>
        <v>0</v>
      </c>
      <c r="AR191" s="26">
        <f t="shared" si="58"/>
        <v>0</v>
      </c>
      <c r="AS191">
        <f t="shared" si="59"/>
        <v>0</v>
      </c>
      <c r="AT191" s="549">
        <f t="shared" si="60"/>
      </c>
      <c r="AU191" s="404">
        <f t="shared" si="61"/>
        <v>0</v>
      </c>
      <c r="AV191" s="52">
        <v>120</v>
      </c>
      <c r="AW191" s="27"/>
      <c r="AX191" s="424"/>
      <c r="AZ191" s="52"/>
    </row>
    <row r="192" spans="1:52" ht="12.75">
      <c r="A192" s="503">
        <f t="shared" si="62"/>
        <v>178</v>
      </c>
      <c r="B192" s="89">
        <f t="shared" si="45"/>
        <v>0</v>
      </c>
      <c r="C192" s="89"/>
      <c r="D192" s="90">
        <f>IF(B192+F192-D191&lt;=0,B192+F192,IF(AND(OR(Simulador!$U$39=2,Simulador!$U$39=7),J191=0),_xlfn.IFERROR((((P192/360*AU192)/(1-(1+(P192/360*AU192))^-AS192))*B192)*(1+AA192),0),IF($AF$3=2,B192*AJ192,_xlfn.IFERROR((((P192/360*AU192)/(1-(1+(P192/360*AU192))^-AS192))*B192)*(1+AA192),0))))</f>
        <v>0</v>
      </c>
      <c r="E192" s="90"/>
      <c r="F192" s="90">
        <f t="shared" si="63"/>
        <v>0</v>
      </c>
      <c r="G192" s="90"/>
      <c r="H192" s="90">
        <f t="shared" si="64"/>
        <v>0</v>
      </c>
      <c r="I192" s="91"/>
      <c r="J192" s="92"/>
      <c r="K192" s="91"/>
      <c r="L192" s="90">
        <f>IF(Simulador!$T$41=1,0,J192*Simulador!$W$39*1.16)</f>
        <v>0</v>
      </c>
      <c r="M192" s="90"/>
      <c r="N192" s="93">
        <f t="shared" si="65"/>
        <v>0</v>
      </c>
      <c r="O192" s="12"/>
      <c r="P192" s="544">
        <f t="shared" si="66"/>
        <v>0</v>
      </c>
      <c r="Q192" s="4"/>
      <c r="R192" s="90">
        <f t="shared" si="67"/>
        <v>0</v>
      </c>
      <c r="S192" s="90"/>
      <c r="T192" s="90">
        <f>_xlfn.IFERROR(IF(Simulador!$U$30=1,0,IF($B192&lt;=0,0,$B192*Simulador!$AA$43)),0)</f>
        <v>0</v>
      </c>
      <c r="U192" s="90"/>
      <c r="V192" s="90">
        <f>_xlfn.IFERROR(IF(Simulador!$U$30=1,0,IF($B192&lt;=0,0,IF(Simulador!$D$22&gt;0,Simulador!$D$22,Simulador!$O$24)*Simulador!$AA$44)),0)</f>
        <v>0</v>
      </c>
      <c r="W192" s="90"/>
      <c r="X192" s="90"/>
      <c r="Y192" s="90">
        <f t="shared" si="46"/>
        <v>0</v>
      </c>
      <c r="Z192" s="13"/>
      <c r="AA192" s="18"/>
      <c r="AB192" s="23"/>
      <c r="AC192" s="364"/>
      <c r="AD192" s="222">
        <v>14</v>
      </c>
      <c r="AE192" s="221">
        <v>10</v>
      </c>
      <c r="AF192" s="269">
        <f t="shared" si="47"/>
        <v>0</v>
      </c>
      <c r="AG192" s="209">
        <f t="shared" si="48"/>
        <v>0</v>
      </c>
      <c r="AH192" s="209">
        <f t="shared" si="49"/>
        <v>0</v>
      </c>
      <c r="AI192" s="219">
        <f t="shared" si="50"/>
        <v>0</v>
      </c>
      <c r="AJ192" s="425">
        <f t="shared" si="51"/>
        <v>0</v>
      </c>
      <c r="AK192" s="57">
        <f t="shared" si="52"/>
        <v>0</v>
      </c>
      <c r="AL192" s="90">
        <f t="shared" si="53"/>
        <v>0</v>
      </c>
      <c r="AM192" s="58">
        <f t="shared" si="54"/>
        <v>0</v>
      </c>
      <c r="AN192" s="57">
        <f t="shared" si="55"/>
        <v>0</v>
      </c>
      <c r="AO192" s="432">
        <f t="shared" si="56"/>
        <v>0</v>
      </c>
      <c r="AP192" s="90">
        <f>_xlfn.IFERROR(IF(Simulador!$U$30=1,0,IF($AK192&lt;=0.01,0,$AK192*Simulador!$AA$43)),0)+_xlfn.IFERROR(IF(Simulador!$U$30=1,0,IF($AK192&lt;=0.01,0,IF(Simulador!$D$22&gt;0,Simulador!$D$22,Simulador!$O$24)*Simulador!$AA$44)),0)</f>
        <v>0</v>
      </c>
      <c r="AQ192" s="90">
        <f t="shared" si="57"/>
        <v>0</v>
      </c>
      <c r="AR192" s="26">
        <f t="shared" si="58"/>
        <v>0</v>
      </c>
      <c r="AS192">
        <f t="shared" si="59"/>
        <v>0</v>
      </c>
      <c r="AT192" s="549">
        <f t="shared" si="60"/>
      </c>
      <c r="AU192" s="404">
        <f t="shared" si="61"/>
        <v>0</v>
      </c>
      <c r="AV192" s="52">
        <v>120</v>
      </c>
      <c r="AW192" s="27"/>
      <c r="AX192" s="424"/>
      <c r="AZ192" s="52"/>
    </row>
    <row r="193" spans="1:52" ht="12.75">
      <c r="A193" s="503">
        <f t="shared" si="62"/>
        <v>179</v>
      </c>
      <c r="B193" s="89">
        <f t="shared" si="45"/>
        <v>0</v>
      </c>
      <c r="C193" s="89"/>
      <c r="D193" s="90">
        <f>IF(B193+F193-D192&lt;=0,B193+F193,IF(AND(OR(Simulador!$U$39=2,Simulador!$U$39=7),J192=0),_xlfn.IFERROR((((P193/360*AU193)/(1-(1+(P193/360*AU193))^-AS193))*B193)*(1+AA193),0),IF($AF$3=2,B193*AJ193,_xlfn.IFERROR((((P193/360*AU193)/(1-(1+(P193/360*AU193))^-AS193))*B193)*(1+AA193),0))))</f>
        <v>0</v>
      </c>
      <c r="E193" s="90"/>
      <c r="F193" s="90">
        <f t="shared" si="63"/>
        <v>0</v>
      </c>
      <c r="G193" s="90"/>
      <c r="H193" s="90">
        <f t="shared" si="64"/>
        <v>0</v>
      </c>
      <c r="I193" s="91"/>
      <c r="J193" s="92"/>
      <c r="K193" s="91"/>
      <c r="L193" s="90">
        <f>IF(Simulador!$T$41=1,0,J193*Simulador!$W$39*1.16)</f>
        <v>0</v>
      </c>
      <c r="M193" s="90"/>
      <c r="N193" s="93"/>
      <c r="O193" s="12"/>
      <c r="P193" s="544">
        <f t="shared" si="66"/>
        <v>0</v>
      </c>
      <c r="Q193" s="4"/>
      <c r="R193" s="90">
        <f t="shared" si="67"/>
        <v>0</v>
      </c>
      <c r="S193" s="90"/>
      <c r="T193" s="90">
        <f>_xlfn.IFERROR(IF(Simulador!$U$30=1,0,IF($B193&lt;=0,0,$B193*Simulador!$AA$43)),0)</f>
        <v>0</v>
      </c>
      <c r="U193" s="90"/>
      <c r="V193" s="90">
        <f>_xlfn.IFERROR(IF(Simulador!$U$30=1,0,IF($B193&lt;=0,0,IF(Simulador!$D$22&gt;0,Simulador!$D$22,Simulador!$O$24)*Simulador!$AA$44)),0)</f>
        <v>0</v>
      </c>
      <c r="W193" s="90"/>
      <c r="X193" s="90"/>
      <c r="Y193" s="90">
        <f t="shared" si="46"/>
        <v>0</v>
      </c>
      <c r="Z193" s="13"/>
      <c r="AA193" s="18"/>
      <c r="AB193" s="23"/>
      <c r="AC193" s="364"/>
      <c r="AD193" s="222">
        <v>14</v>
      </c>
      <c r="AE193" s="219">
        <v>11</v>
      </c>
      <c r="AF193" s="269">
        <f t="shared" si="47"/>
        <v>0</v>
      </c>
      <c r="AG193" s="209">
        <f t="shared" si="48"/>
        <v>0</v>
      </c>
      <c r="AH193" s="209">
        <f t="shared" si="49"/>
        <v>0</v>
      </c>
      <c r="AI193" s="219">
        <f t="shared" si="50"/>
        <v>0</v>
      </c>
      <c r="AJ193" s="425">
        <f t="shared" si="51"/>
        <v>0</v>
      </c>
      <c r="AK193" s="57">
        <f t="shared" si="52"/>
        <v>0</v>
      </c>
      <c r="AL193" s="90">
        <f t="shared" si="53"/>
        <v>0</v>
      </c>
      <c r="AM193" s="58">
        <f t="shared" si="54"/>
        <v>0</v>
      </c>
      <c r="AN193" s="57">
        <f t="shared" si="55"/>
        <v>0</v>
      </c>
      <c r="AO193" s="432">
        <f t="shared" si="56"/>
        <v>0</v>
      </c>
      <c r="AP193" s="90">
        <f>_xlfn.IFERROR(IF(Simulador!$U$30=1,0,IF($AK193&lt;=0.01,0,$AK193*Simulador!$AA$43)),0)+_xlfn.IFERROR(IF(Simulador!$U$30=1,0,IF($AK193&lt;=0.01,0,IF(Simulador!$D$22&gt;0,Simulador!$D$22,Simulador!$O$24)*Simulador!$AA$44)),0)</f>
        <v>0</v>
      </c>
      <c r="AQ193" s="90">
        <f t="shared" si="57"/>
        <v>0</v>
      </c>
      <c r="AR193" s="26">
        <f t="shared" si="58"/>
        <v>0</v>
      </c>
      <c r="AS193">
        <f t="shared" si="59"/>
        <v>0</v>
      </c>
      <c r="AT193" s="549">
        <f t="shared" si="60"/>
      </c>
      <c r="AU193" s="404">
        <f t="shared" si="61"/>
        <v>0</v>
      </c>
      <c r="AV193" s="52">
        <v>120</v>
      </c>
      <c r="AW193" s="27"/>
      <c r="AX193" s="424"/>
      <c r="AZ193" s="52"/>
    </row>
    <row r="194" spans="1:52" ht="12.75">
      <c r="A194" s="503">
        <f t="shared" si="62"/>
        <v>180</v>
      </c>
      <c r="B194" s="89">
        <f t="shared" si="45"/>
        <v>0</v>
      </c>
      <c r="C194" s="89"/>
      <c r="D194" s="90">
        <f>IF(B194+F194-D193&lt;=0,B194+F194,IF(AND(OR(Simulador!$U$39=2,Simulador!$U$39=7),J193=0),_xlfn.IFERROR((((P194/360*AU194)/(1-(1+(P194/360*AU194))^-AS194))*B194)*(1+AA194),0),IF($AF$3=2,B194*AJ194,_xlfn.IFERROR((((P194/360*AU194)/(1-(1+(P194/360*AU194))^-AS194))*B194)*(1+AA194),0))))</f>
        <v>0</v>
      </c>
      <c r="E194" s="90"/>
      <c r="F194" s="90">
        <f t="shared" si="63"/>
        <v>0</v>
      </c>
      <c r="G194" s="90"/>
      <c r="H194" s="90">
        <f t="shared" si="64"/>
        <v>0</v>
      </c>
      <c r="I194" s="91"/>
      <c r="J194" s="92"/>
      <c r="K194" s="91"/>
      <c r="L194" s="90">
        <f>IF(Simulador!$T$41=1,0,J194*Simulador!$W$39*1.16)</f>
        <v>0</v>
      </c>
      <c r="M194" s="90"/>
      <c r="N194" s="93">
        <f t="shared" si="65"/>
        <v>0</v>
      </c>
      <c r="O194" s="12"/>
      <c r="P194" s="544">
        <f t="shared" si="66"/>
        <v>0</v>
      </c>
      <c r="Q194" s="4"/>
      <c r="R194" s="90">
        <f t="shared" si="67"/>
        <v>0</v>
      </c>
      <c r="S194" s="90"/>
      <c r="T194" s="90">
        <f>_xlfn.IFERROR(IF(Simulador!$U$30=1,0,IF($B194&lt;=0,0,$B194*Simulador!$AA$43)),0)</f>
        <v>0</v>
      </c>
      <c r="U194" s="90"/>
      <c r="V194" s="90">
        <f>_xlfn.IFERROR(IF(Simulador!$U$30=1,0,IF($B194&lt;=0,0,IF(Simulador!$D$22&gt;0,Simulador!$D$22,Simulador!$O$24)*Simulador!$AA$44)),0)</f>
        <v>0</v>
      </c>
      <c r="W194" s="90"/>
      <c r="X194" s="90"/>
      <c r="Y194" s="90">
        <f t="shared" si="46"/>
        <v>0</v>
      </c>
      <c r="Z194" s="13"/>
      <c r="AA194" s="18"/>
      <c r="AB194" s="23"/>
      <c r="AC194" s="364"/>
      <c r="AD194" s="222">
        <v>15</v>
      </c>
      <c r="AE194" s="219">
        <v>0</v>
      </c>
      <c r="AF194" s="269">
        <f t="shared" si="47"/>
        <v>0</v>
      </c>
      <c r="AG194" s="209">
        <f t="shared" si="48"/>
        <v>0</v>
      </c>
      <c r="AH194" s="209">
        <f t="shared" si="49"/>
        <v>0</v>
      </c>
      <c r="AI194" s="219">
        <f t="shared" si="50"/>
        <v>0</v>
      </c>
      <c r="AJ194" s="425">
        <f t="shared" si="51"/>
        <v>0</v>
      </c>
      <c r="AK194" s="57">
        <f t="shared" si="52"/>
        <v>0</v>
      </c>
      <c r="AL194" s="90">
        <f t="shared" si="53"/>
        <v>0</v>
      </c>
      <c r="AM194" s="58">
        <f t="shared" si="54"/>
        <v>0</v>
      </c>
      <c r="AN194" s="57">
        <f t="shared" si="55"/>
        <v>0</v>
      </c>
      <c r="AO194" s="432">
        <f t="shared" si="56"/>
        <v>0</v>
      </c>
      <c r="AP194" s="90">
        <f>_xlfn.IFERROR(IF(Simulador!$U$30=1,0,IF($AK194&lt;=0.01,0,$AK194*Simulador!$AA$43)),0)+_xlfn.IFERROR(IF(Simulador!$U$30=1,0,IF($AK194&lt;=0.01,0,IF(Simulador!$D$22&gt;0,Simulador!$D$22,Simulador!$O$24)*Simulador!$AA$44)),0)</f>
        <v>0</v>
      </c>
      <c r="AQ194" s="90">
        <f t="shared" si="57"/>
        <v>0</v>
      </c>
      <c r="AR194" s="26">
        <f t="shared" si="58"/>
        <v>0</v>
      </c>
      <c r="AS194">
        <f t="shared" si="59"/>
        <v>0</v>
      </c>
      <c r="AT194" s="549">
        <f t="shared" si="60"/>
      </c>
      <c r="AU194" s="404">
        <f t="shared" si="61"/>
        <v>0</v>
      </c>
      <c r="AV194" s="52">
        <v>120</v>
      </c>
      <c r="AW194" s="27"/>
      <c r="AX194" s="424"/>
      <c r="AZ194" s="52"/>
    </row>
    <row r="195" spans="1:52" ht="12.75">
      <c r="A195" s="503">
        <f t="shared" si="62"/>
        <v>181</v>
      </c>
      <c r="B195" s="89">
        <f t="shared" si="45"/>
        <v>0</v>
      </c>
      <c r="C195" s="89"/>
      <c r="D195" s="90">
        <f>IF(B195+F195-D194&lt;=0,B195+F195,IF(AND(OR(Simulador!$U$39=2,Simulador!$U$39=7),J194=0),_xlfn.IFERROR((((P195/360*AU195)/(1-(1+(P195/360*AU195))^-AS195))*B195)*(1+AA195),0),IF($AF$3=2,B195*AJ195,_xlfn.IFERROR((((P195/360*AU195)/(1-(1+(P195/360*AU195))^-AS195))*B195)*(1+AA195),0))))</f>
        <v>0</v>
      </c>
      <c r="E195" s="90"/>
      <c r="F195" s="90">
        <f t="shared" si="63"/>
        <v>0</v>
      </c>
      <c r="G195" s="90"/>
      <c r="H195" s="90">
        <f t="shared" si="64"/>
        <v>0</v>
      </c>
      <c r="I195" s="91"/>
      <c r="J195" s="92"/>
      <c r="K195" s="91"/>
      <c r="L195" s="90">
        <f>IF(Simulador!$T$41=1,0,J195*Simulador!$W$39*1.16)</f>
        <v>0</v>
      </c>
      <c r="M195" s="90"/>
      <c r="N195" s="93"/>
      <c r="O195" s="12"/>
      <c r="P195" s="544">
        <f>_xlfn.IFERROR(IF(B195=0,0,IF(Simulador!$D$26&lt;&gt;0,MIN(Simulador!$D$26+Simulador!$U$75,$AG$12),P194)),0)</f>
        <v>0</v>
      </c>
      <c r="Q195" s="4"/>
      <c r="R195" s="90">
        <f t="shared" si="67"/>
        <v>0</v>
      </c>
      <c r="S195" s="90"/>
      <c r="T195" s="90">
        <f>_xlfn.IFERROR(IF(Simulador!$U$30=1,0,IF($B195&lt;=0,0,$B195*Simulador!$AA$43)),0)</f>
        <v>0</v>
      </c>
      <c r="U195" s="90"/>
      <c r="V195" s="90">
        <f>_xlfn.IFERROR(IF(Simulador!$U$30=1,0,IF($B195&lt;=0,0,IF(Simulador!$D$22&gt;0,Simulador!$D$22,Simulador!$O$24)*Simulador!$AA$44)),0)</f>
        <v>0</v>
      </c>
      <c r="W195" s="90"/>
      <c r="X195" s="90"/>
      <c r="Y195" s="90">
        <f t="shared" si="46"/>
        <v>0</v>
      </c>
      <c r="Z195" s="13"/>
      <c r="AA195" s="18"/>
      <c r="AB195" s="23"/>
      <c r="AC195" s="364"/>
      <c r="AD195" s="222">
        <v>15</v>
      </c>
      <c r="AE195" s="219">
        <v>1</v>
      </c>
      <c r="AF195" s="269">
        <f t="shared" si="47"/>
        <v>0</v>
      </c>
      <c r="AG195" s="209">
        <f t="shared" si="48"/>
        <v>0</v>
      </c>
      <c r="AH195" s="209">
        <f t="shared" si="49"/>
        <v>0</v>
      </c>
      <c r="AI195" s="219">
        <f t="shared" si="50"/>
        <v>0</v>
      </c>
      <c r="AJ195" s="425">
        <f t="shared" si="51"/>
        <v>0</v>
      </c>
      <c r="AK195" s="57">
        <f t="shared" si="52"/>
        <v>0</v>
      </c>
      <c r="AL195" s="90">
        <f t="shared" si="53"/>
        <v>0</v>
      </c>
      <c r="AM195" s="58">
        <f t="shared" si="54"/>
        <v>0</v>
      </c>
      <c r="AN195" s="57">
        <f t="shared" si="55"/>
        <v>0</v>
      </c>
      <c r="AO195" s="432">
        <f t="shared" si="56"/>
        <v>0</v>
      </c>
      <c r="AP195" s="90">
        <f>_xlfn.IFERROR(IF(Simulador!$U$30=1,0,IF($AK195&lt;=0.01,0,$AK195*Simulador!$AA$43)),0)+_xlfn.IFERROR(IF(Simulador!$U$30=1,0,IF($AK195&lt;=0.01,0,IF(Simulador!$D$22&gt;0,Simulador!$D$22,Simulador!$O$24)*Simulador!$AA$44)),0)</f>
        <v>0</v>
      </c>
      <c r="AQ195" s="90">
        <f t="shared" si="57"/>
        <v>0</v>
      </c>
      <c r="AR195" s="26">
        <f t="shared" si="58"/>
        <v>0</v>
      </c>
      <c r="AS195">
        <f t="shared" si="59"/>
        <v>0</v>
      </c>
      <c r="AT195" s="549">
        <f t="shared" si="60"/>
      </c>
      <c r="AU195" s="404">
        <f t="shared" si="61"/>
        <v>0</v>
      </c>
      <c r="AV195" s="52">
        <v>120</v>
      </c>
      <c r="AW195" s="27"/>
      <c r="AX195" s="424"/>
      <c r="AZ195" s="52"/>
    </row>
    <row r="196" spans="1:52" ht="12.75">
      <c r="A196" s="503">
        <f t="shared" si="62"/>
        <v>182</v>
      </c>
      <c r="B196" s="89">
        <f t="shared" si="45"/>
        <v>0</v>
      </c>
      <c r="C196" s="89"/>
      <c r="D196" s="90">
        <f>IF(B196+F196-D195&lt;=0,B196+F196,IF(AND(OR(Simulador!$U$39=2,Simulador!$U$39=7),J195=0),_xlfn.IFERROR((((P196/360*AU196)/(1-(1+(P196/360*AU196))^-AS196))*B196)*(1+AA196),0),IF($AF$3=2,B196*AJ196,_xlfn.IFERROR((((P196/360*AU196)/(1-(1+(P196/360*AU196))^-AS196))*B196)*(1+AA196),0))))</f>
        <v>0</v>
      </c>
      <c r="E196" s="90"/>
      <c r="F196" s="90">
        <f t="shared" si="63"/>
        <v>0</v>
      </c>
      <c r="G196" s="90"/>
      <c r="H196" s="90">
        <f t="shared" si="64"/>
        <v>0</v>
      </c>
      <c r="I196" s="91"/>
      <c r="J196" s="92"/>
      <c r="K196" s="91"/>
      <c r="L196" s="90">
        <f>IF(Simulador!$T$41=1,0,J196*Simulador!$W$39*1.16)</f>
        <v>0</v>
      </c>
      <c r="M196" s="90"/>
      <c r="N196" s="93">
        <f t="shared" si="65"/>
        <v>0</v>
      </c>
      <c r="O196" s="12"/>
      <c r="P196" s="544">
        <f t="shared" si="66"/>
        <v>0</v>
      </c>
      <c r="Q196" s="4"/>
      <c r="R196" s="90">
        <f t="shared" si="67"/>
        <v>0</v>
      </c>
      <c r="S196" s="90"/>
      <c r="T196" s="90">
        <f>_xlfn.IFERROR(IF(Simulador!$U$30=1,0,IF($B196&lt;=0,0,$B196*Simulador!$AA$43)),0)</f>
        <v>0</v>
      </c>
      <c r="U196" s="90"/>
      <c r="V196" s="90">
        <f>_xlfn.IFERROR(IF(Simulador!$U$30=1,0,IF($B196&lt;=0,0,IF(Simulador!$D$22&gt;0,Simulador!$D$22,Simulador!$O$24)*Simulador!$AA$44)),0)</f>
        <v>0</v>
      </c>
      <c r="W196" s="90"/>
      <c r="X196" s="90"/>
      <c r="Y196" s="90">
        <f t="shared" si="46"/>
        <v>0</v>
      </c>
      <c r="Z196" s="13"/>
      <c r="AA196" s="18"/>
      <c r="AB196" s="23"/>
      <c r="AC196" s="364"/>
      <c r="AD196" s="222">
        <v>15</v>
      </c>
      <c r="AE196" s="220">
        <v>2</v>
      </c>
      <c r="AF196" s="269">
        <f t="shared" si="47"/>
        <v>0</v>
      </c>
      <c r="AG196" s="209">
        <f t="shared" si="48"/>
        <v>0</v>
      </c>
      <c r="AH196" s="209">
        <f t="shared" si="49"/>
        <v>0</v>
      </c>
      <c r="AI196" s="219">
        <f t="shared" si="50"/>
        <v>0</v>
      </c>
      <c r="AJ196" s="425">
        <f t="shared" si="51"/>
        <v>0</v>
      </c>
      <c r="AK196" s="57">
        <f t="shared" si="52"/>
        <v>0</v>
      </c>
      <c r="AL196" s="90">
        <f t="shared" si="53"/>
        <v>0</v>
      </c>
      <c r="AM196" s="58">
        <f t="shared" si="54"/>
        <v>0</v>
      </c>
      <c r="AN196" s="57">
        <f t="shared" si="55"/>
        <v>0</v>
      </c>
      <c r="AO196" s="432">
        <f t="shared" si="56"/>
        <v>0</v>
      </c>
      <c r="AP196" s="90">
        <f>_xlfn.IFERROR(IF(Simulador!$U$30=1,0,IF($AK196&lt;=0.01,0,$AK196*Simulador!$AA$43)),0)+_xlfn.IFERROR(IF(Simulador!$U$30=1,0,IF($AK196&lt;=0.01,0,IF(Simulador!$D$22&gt;0,Simulador!$D$22,Simulador!$O$24)*Simulador!$AA$44)),0)</f>
        <v>0</v>
      </c>
      <c r="AQ196" s="90">
        <f t="shared" si="57"/>
        <v>0</v>
      </c>
      <c r="AR196" s="26">
        <f t="shared" si="58"/>
        <v>0</v>
      </c>
      <c r="AS196">
        <f t="shared" si="59"/>
        <v>0</v>
      </c>
      <c r="AT196" s="549">
        <f t="shared" si="60"/>
      </c>
      <c r="AU196" s="404">
        <f t="shared" si="61"/>
        <v>0</v>
      </c>
      <c r="AV196" s="52">
        <v>120</v>
      </c>
      <c r="AW196" s="27"/>
      <c r="AX196" s="424"/>
      <c r="AZ196" s="52"/>
    </row>
    <row r="197" spans="1:52" ht="12.75">
      <c r="A197" s="503">
        <f t="shared" si="62"/>
        <v>183</v>
      </c>
      <c r="B197" s="89">
        <f t="shared" si="45"/>
        <v>0</v>
      </c>
      <c r="C197" s="89"/>
      <c r="D197" s="90">
        <f>IF(B197+F197-D196&lt;=0,B197+F197,IF(AND(OR(Simulador!$U$39=2,Simulador!$U$39=7),J196=0),_xlfn.IFERROR((((P197/360*AU197)/(1-(1+(P197/360*AU197))^-AS197))*B197)*(1+AA197),0),IF($AF$3=2,B197*AJ197,_xlfn.IFERROR((((P197/360*AU197)/(1-(1+(P197/360*AU197))^-AS197))*B197)*(1+AA197),0))))</f>
        <v>0</v>
      </c>
      <c r="E197" s="90"/>
      <c r="F197" s="90">
        <f t="shared" si="63"/>
        <v>0</v>
      </c>
      <c r="G197" s="90"/>
      <c r="H197" s="90">
        <f t="shared" si="64"/>
        <v>0</v>
      </c>
      <c r="I197" s="91"/>
      <c r="J197" s="92"/>
      <c r="K197" s="91"/>
      <c r="L197" s="90">
        <f>IF(Simulador!$T$41=1,0,J197*Simulador!$W$39*1.16)</f>
        <v>0</v>
      </c>
      <c r="M197" s="90"/>
      <c r="N197" s="93"/>
      <c r="O197" s="12"/>
      <c r="P197" s="544">
        <f t="shared" si="66"/>
        <v>0</v>
      </c>
      <c r="Q197" s="4"/>
      <c r="R197" s="90">
        <f t="shared" si="67"/>
        <v>0</v>
      </c>
      <c r="S197" s="90"/>
      <c r="T197" s="90">
        <f>_xlfn.IFERROR(IF(Simulador!$U$30=1,0,IF($B197&lt;=0,0,$B197*Simulador!$AA$43)),0)</f>
        <v>0</v>
      </c>
      <c r="U197" s="90"/>
      <c r="V197" s="90">
        <f>_xlfn.IFERROR(IF(Simulador!$U$30=1,0,IF($B197&lt;=0,0,IF(Simulador!$D$22&gt;0,Simulador!$D$22,Simulador!$O$24)*Simulador!$AA$44)),0)</f>
        <v>0</v>
      </c>
      <c r="W197" s="90"/>
      <c r="X197" s="90"/>
      <c r="Y197" s="90">
        <f t="shared" si="46"/>
        <v>0</v>
      </c>
      <c r="Z197" s="13"/>
      <c r="AA197" s="18"/>
      <c r="AB197" s="23"/>
      <c r="AC197" s="364"/>
      <c r="AD197" s="222">
        <v>15</v>
      </c>
      <c r="AE197" s="220">
        <v>3</v>
      </c>
      <c r="AF197" s="269">
        <f t="shared" si="47"/>
        <v>0</v>
      </c>
      <c r="AG197" s="209">
        <f t="shared" si="48"/>
        <v>0</v>
      </c>
      <c r="AH197" s="209">
        <f t="shared" si="49"/>
        <v>0</v>
      </c>
      <c r="AI197" s="219">
        <f t="shared" si="50"/>
        <v>0</v>
      </c>
      <c r="AJ197" s="425">
        <f t="shared" si="51"/>
        <v>0</v>
      </c>
      <c r="AK197" s="57">
        <f t="shared" si="52"/>
        <v>0</v>
      </c>
      <c r="AL197" s="90">
        <f t="shared" si="53"/>
        <v>0</v>
      </c>
      <c r="AM197" s="58">
        <f t="shared" si="54"/>
        <v>0</v>
      </c>
      <c r="AN197" s="57">
        <f t="shared" si="55"/>
        <v>0</v>
      </c>
      <c r="AO197" s="432">
        <f t="shared" si="56"/>
        <v>0</v>
      </c>
      <c r="AP197" s="90">
        <f>_xlfn.IFERROR(IF(Simulador!$U$30=1,0,IF($AK197&lt;=0.01,0,$AK197*Simulador!$AA$43)),0)+_xlfn.IFERROR(IF(Simulador!$U$30=1,0,IF($AK197&lt;=0.01,0,IF(Simulador!$D$22&gt;0,Simulador!$D$22,Simulador!$O$24)*Simulador!$AA$44)),0)</f>
        <v>0</v>
      </c>
      <c r="AQ197" s="90">
        <f t="shared" si="57"/>
        <v>0</v>
      </c>
      <c r="AR197" s="26">
        <f t="shared" si="58"/>
        <v>0</v>
      </c>
      <c r="AS197">
        <f t="shared" si="59"/>
        <v>0</v>
      </c>
      <c r="AT197" s="549">
        <f t="shared" si="60"/>
      </c>
      <c r="AU197" s="404">
        <f t="shared" si="61"/>
        <v>0</v>
      </c>
      <c r="AV197" s="52">
        <v>120</v>
      </c>
      <c r="AW197" s="27"/>
      <c r="AX197" s="424"/>
      <c r="AZ197" s="52"/>
    </row>
    <row r="198" spans="1:52" ht="12.75">
      <c r="A198" s="503">
        <f t="shared" si="62"/>
        <v>184</v>
      </c>
      <c r="B198" s="89">
        <f t="shared" si="45"/>
        <v>0</v>
      </c>
      <c r="C198" s="89"/>
      <c r="D198" s="90">
        <f>IF(B198+F198-D197&lt;=0,B198+F198,IF(AND(OR(Simulador!$U$39=2,Simulador!$U$39=7),J197=0),_xlfn.IFERROR((((P198/360*AU198)/(1-(1+(P198/360*AU198))^-AS198))*B198)*(1+AA198),0),IF($AF$3=2,B198*AJ198,_xlfn.IFERROR((((P198/360*AU198)/(1-(1+(P198/360*AU198))^-AS198))*B198)*(1+AA198),0))))</f>
        <v>0</v>
      </c>
      <c r="E198" s="90"/>
      <c r="F198" s="90">
        <f t="shared" si="63"/>
        <v>0</v>
      </c>
      <c r="G198" s="90"/>
      <c r="H198" s="90">
        <f t="shared" si="64"/>
        <v>0</v>
      </c>
      <c r="I198" s="91"/>
      <c r="J198" s="92"/>
      <c r="K198" s="91"/>
      <c r="L198" s="90">
        <f>IF(Simulador!$T$41=1,0,J198*Simulador!$W$39*1.16)</f>
        <v>0</v>
      </c>
      <c r="M198" s="90"/>
      <c r="N198" s="93">
        <f t="shared" si="65"/>
        <v>0</v>
      </c>
      <c r="O198" s="12"/>
      <c r="P198" s="544">
        <f t="shared" si="66"/>
        <v>0</v>
      </c>
      <c r="Q198" s="4"/>
      <c r="R198" s="90">
        <f t="shared" si="67"/>
        <v>0</v>
      </c>
      <c r="S198" s="90"/>
      <c r="T198" s="90">
        <f>_xlfn.IFERROR(IF(Simulador!$U$30=1,0,IF($B198&lt;=0,0,$B198*Simulador!$AA$43)),0)</f>
        <v>0</v>
      </c>
      <c r="U198" s="90"/>
      <c r="V198" s="90">
        <f>_xlfn.IFERROR(IF(Simulador!$U$30=1,0,IF($B198&lt;=0,0,IF(Simulador!$D$22&gt;0,Simulador!$D$22,Simulador!$O$24)*Simulador!$AA$44)),0)</f>
        <v>0</v>
      </c>
      <c r="W198" s="90"/>
      <c r="X198" s="90"/>
      <c r="Y198" s="90">
        <f t="shared" si="46"/>
        <v>0</v>
      </c>
      <c r="Z198" s="13"/>
      <c r="AA198" s="18"/>
      <c r="AB198" s="23"/>
      <c r="AC198" s="364"/>
      <c r="AD198" s="222">
        <v>15</v>
      </c>
      <c r="AE198" s="219">
        <v>4</v>
      </c>
      <c r="AF198" s="269">
        <f t="shared" si="47"/>
        <v>0</v>
      </c>
      <c r="AG198" s="209">
        <f t="shared" si="48"/>
        <v>0</v>
      </c>
      <c r="AH198" s="209">
        <f t="shared" si="49"/>
        <v>0</v>
      </c>
      <c r="AI198" s="219">
        <f t="shared" si="50"/>
        <v>0</v>
      </c>
      <c r="AJ198" s="425">
        <f t="shared" si="51"/>
        <v>0</v>
      </c>
      <c r="AK198" s="57">
        <f t="shared" si="52"/>
        <v>0</v>
      </c>
      <c r="AL198" s="90">
        <f t="shared" si="53"/>
        <v>0</v>
      </c>
      <c r="AM198" s="58">
        <f t="shared" si="54"/>
        <v>0</v>
      </c>
      <c r="AN198" s="57">
        <f t="shared" si="55"/>
        <v>0</v>
      </c>
      <c r="AO198" s="432">
        <f t="shared" si="56"/>
        <v>0</v>
      </c>
      <c r="AP198" s="90">
        <f>_xlfn.IFERROR(IF(Simulador!$U$30=1,0,IF($AK198&lt;=0.01,0,$AK198*Simulador!$AA$43)),0)+_xlfn.IFERROR(IF(Simulador!$U$30=1,0,IF($AK198&lt;=0.01,0,IF(Simulador!$D$22&gt;0,Simulador!$D$22,Simulador!$O$24)*Simulador!$AA$44)),0)</f>
        <v>0</v>
      </c>
      <c r="AQ198" s="90">
        <f t="shared" si="57"/>
        <v>0</v>
      </c>
      <c r="AR198" s="26">
        <f t="shared" si="58"/>
        <v>0</v>
      </c>
      <c r="AS198">
        <f t="shared" si="59"/>
        <v>0</v>
      </c>
      <c r="AT198" s="549">
        <f t="shared" si="60"/>
      </c>
      <c r="AU198" s="404">
        <f t="shared" si="61"/>
        <v>0</v>
      </c>
      <c r="AV198" s="52">
        <v>120</v>
      </c>
      <c r="AW198" s="27"/>
      <c r="AX198" s="424"/>
      <c r="AZ198" s="52"/>
    </row>
    <row r="199" spans="1:52" ht="12.75">
      <c r="A199" s="503">
        <f t="shared" si="62"/>
        <v>185</v>
      </c>
      <c r="B199" s="89">
        <f aca="true" t="shared" si="68" ref="B199:B254">IF(R198&lt;=0.01,0,R198)</f>
        <v>0</v>
      </c>
      <c r="C199" s="89"/>
      <c r="D199" s="90">
        <f>IF(B199+F199-D198&lt;=0,B199+F199,IF(AND(OR(Simulador!$U$39=2,Simulador!$U$39=7),J198=0),_xlfn.IFERROR((((P199/360*AU199)/(1-(1+(P199/360*AU199))^-AS199))*B199)*(1+AA199),0),IF($AF$3=2,B199*AJ199,_xlfn.IFERROR((((P199/360*AU199)/(1-(1+(P199/360*AU199))^-AS199))*B199)*(1+AA199),0))))</f>
        <v>0</v>
      </c>
      <c r="E199" s="90"/>
      <c r="F199" s="90">
        <f aca="true" t="shared" si="69" ref="F199:F254">_xlfn.IFERROR(IF(B199=0,0,P199/360*AU199*B199),0)</f>
        <v>0</v>
      </c>
      <c r="G199" s="90"/>
      <c r="H199" s="90">
        <f aca="true" t="shared" si="70" ref="H199:H254">D199-F199</f>
        <v>0</v>
      </c>
      <c r="I199" s="91"/>
      <c r="J199" s="92"/>
      <c r="K199" s="91"/>
      <c r="L199" s="90">
        <f>IF(Simulador!$T$41=1,0,J199*Simulador!$W$39*1.16)</f>
        <v>0</v>
      </c>
      <c r="M199" s="90"/>
      <c r="N199" s="93"/>
      <c r="O199" s="12"/>
      <c r="P199" s="544">
        <f aca="true" t="shared" si="71" ref="P199:P254">_xlfn.IFERROR(IF(B199=0,0,P198),0)</f>
        <v>0</v>
      </c>
      <c r="Q199" s="4"/>
      <c r="R199" s="90">
        <f aca="true" t="shared" si="72" ref="R199:R254">B199-H199-J199+L199-N199</f>
        <v>0</v>
      </c>
      <c r="S199" s="90"/>
      <c r="T199" s="90">
        <f>_xlfn.IFERROR(IF(Simulador!$U$30=1,0,IF($B199&lt;=0,0,$B199*Simulador!$AA$43)),0)</f>
        <v>0</v>
      </c>
      <c r="U199" s="90"/>
      <c r="V199" s="90">
        <f>_xlfn.IFERROR(IF(Simulador!$U$30=1,0,IF($B199&lt;=0,0,IF(Simulador!$D$22&gt;0,Simulador!$D$22,Simulador!$O$24)*Simulador!$AA$44)),0)</f>
        <v>0</v>
      </c>
      <c r="W199" s="90"/>
      <c r="X199" s="90"/>
      <c r="Y199" s="90">
        <f aca="true" t="shared" si="73" ref="Y199:Y254">IF(B199&lt;=0,0,D199+J199+T199+V199)</f>
        <v>0</v>
      </c>
      <c r="Z199" s="13"/>
      <c r="AA199" s="18"/>
      <c r="AB199" s="23"/>
      <c r="AC199" s="364"/>
      <c r="AD199" s="222">
        <v>15</v>
      </c>
      <c r="AE199" s="219">
        <v>5</v>
      </c>
      <c r="AF199" s="269">
        <f aca="true" t="shared" si="74" ref="AF199:AF254">IF(R199&lt;=0.01,IF(R198&gt;0.01,A199,0),0)</f>
        <v>0</v>
      </c>
      <c r="AG199" s="209">
        <f aca="true" t="shared" si="75" ref="AG199:AG253">IF(AF199&gt;0,AD199,0)</f>
        <v>0</v>
      </c>
      <c r="AH199" s="209">
        <f aca="true" t="shared" si="76" ref="AH199:AH254">IF(AF199&gt;0,AE199,0)</f>
        <v>0</v>
      </c>
      <c r="AI199" s="219">
        <f aca="true" t="shared" si="77" ref="AI199:AI254">Y199</f>
        <v>0</v>
      </c>
      <c r="AJ199" s="425">
        <f aca="true" t="shared" si="78" ref="AJ199:AJ254">_xlfn.IFERROR((AL199/AK199),0)</f>
        <v>0</v>
      </c>
      <c r="AK199" s="57">
        <f aca="true" t="shared" si="79" ref="AK199:AK254">+AO198</f>
        <v>0</v>
      </c>
      <c r="AL199" s="90">
        <f aca="true" t="shared" si="80" ref="AL199:AL254">_xlfn.IFERROR(((AR199/360*AU199)/(1-(1+(AR199/360*AU199))^-AS199))*AK199,0)</f>
        <v>0</v>
      </c>
      <c r="AM199" s="58">
        <f aca="true" t="shared" si="81" ref="AM199:AM254">_xlfn.IFERROR(IF(AK199=0,0,AR199/360*AU199*AK199),0)</f>
        <v>0</v>
      </c>
      <c r="AN199" s="57">
        <f aca="true" t="shared" si="82" ref="AN199:AN254">+AL199-AM199</f>
        <v>0</v>
      </c>
      <c r="AO199" s="432">
        <f aca="true" t="shared" si="83" ref="AO199:AO254">+AK199-AN199</f>
        <v>0</v>
      </c>
      <c r="AP199" s="90">
        <f>_xlfn.IFERROR(IF(Simulador!$U$30=1,0,IF($AK199&lt;=0.01,0,$AK199*Simulador!$AA$43)),0)+_xlfn.IFERROR(IF(Simulador!$U$30=1,0,IF($AK199&lt;=0.01,0,IF(Simulador!$D$22&gt;0,Simulador!$D$22,Simulador!$O$24)*Simulador!$AA$44)),0)</f>
        <v>0</v>
      </c>
      <c r="AQ199" s="90">
        <f aca="true" t="shared" si="84" ref="AQ199:AQ254">AL199+AP199</f>
        <v>0</v>
      </c>
      <c r="AR199" s="26">
        <f aca="true" t="shared" si="85" ref="AR199:AR254">_xlfn.IFERROR(IF(AK199=0,0,AR198),0)</f>
        <v>0</v>
      </c>
      <c r="AS199">
        <f aca="true" t="shared" si="86" ref="AS199:AS254">_xlfn.IFERROR(IF(AK199&lt;=0.01,0,AS198-1),0)</f>
        <v>0</v>
      </c>
      <c r="AT199" s="549">
        <f aca="true" t="shared" si="87" ref="AT199:AT254">IF(AK199=0,"",DATE(YEAR(AT198),MONTH(AT198)+1,1))</f>
      </c>
      <c r="AU199" s="404">
        <f aca="true" t="shared" si="88" ref="AU199:AU254">_xlfn.IFERROR(DAY(DATE(YEAR(AT199),MONTH(AT199)+1,0)),0)</f>
        <v>0</v>
      </c>
      <c r="AV199" s="52">
        <v>120</v>
      </c>
      <c r="AW199" s="27"/>
      <c r="AX199" s="424"/>
      <c r="AZ199" s="52"/>
    </row>
    <row r="200" spans="1:52" ht="12.75">
      <c r="A200" s="503">
        <f aca="true" t="shared" si="89" ref="A200:A254">+A199+1</f>
        <v>186</v>
      </c>
      <c r="B200" s="89">
        <f t="shared" si="68"/>
        <v>0</v>
      </c>
      <c r="C200" s="89"/>
      <c r="D200" s="90">
        <f>IF(B200+F200-D199&lt;=0,B200+F200,IF(AND(OR(Simulador!$U$39=2,Simulador!$U$39=7),J199=0),_xlfn.IFERROR((((P200/360*AU200)/(1-(1+(P200/360*AU200))^-AS200))*B200)*(1+AA200),0),IF($AF$3=2,B200*AJ200,_xlfn.IFERROR((((P200/360*AU200)/(1-(1+(P200/360*AU200))^-AS200))*B200)*(1+AA200),0))))</f>
        <v>0</v>
      </c>
      <c r="E200" s="90"/>
      <c r="F200" s="90">
        <f t="shared" si="69"/>
        <v>0</v>
      </c>
      <c r="G200" s="90"/>
      <c r="H200" s="90">
        <f t="shared" si="70"/>
        <v>0</v>
      </c>
      <c r="I200" s="91"/>
      <c r="J200" s="92"/>
      <c r="K200" s="91"/>
      <c r="L200" s="90">
        <f>IF(Simulador!$T$41=1,0,J200*Simulador!$W$39*1.16)</f>
        <v>0</v>
      </c>
      <c r="M200" s="90"/>
      <c r="N200" s="93">
        <f aca="true" t="shared" si="90" ref="N200:N254">IF(B200-H200=0,0,N198)</f>
        <v>0</v>
      </c>
      <c r="O200" s="12"/>
      <c r="P200" s="544">
        <f t="shared" si="71"/>
        <v>0</v>
      </c>
      <c r="Q200" s="4"/>
      <c r="R200" s="90">
        <f t="shared" si="72"/>
        <v>0</v>
      </c>
      <c r="S200" s="90"/>
      <c r="T200" s="90">
        <f>_xlfn.IFERROR(IF(Simulador!$U$30=1,0,IF($B200&lt;=0,0,$B200*Simulador!$AA$43)),0)</f>
        <v>0</v>
      </c>
      <c r="U200" s="90"/>
      <c r="V200" s="90">
        <f>_xlfn.IFERROR(IF(Simulador!$U$30=1,0,IF($B200&lt;=0,0,IF(Simulador!$D$22&gt;0,Simulador!$D$22,Simulador!$O$24)*Simulador!$AA$44)),0)</f>
        <v>0</v>
      </c>
      <c r="W200" s="90"/>
      <c r="X200" s="90"/>
      <c r="Y200" s="90">
        <f t="shared" si="73"/>
        <v>0</v>
      </c>
      <c r="Z200" s="13"/>
      <c r="AA200" s="18"/>
      <c r="AB200" s="23"/>
      <c r="AC200" s="364"/>
      <c r="AD200" s="222">
        <v>15</v>
      </c>
      <c r="AE200" s="219">
        <v>6</v>
      </c>
      <c r="AF200" s="269">
        <f t="shared" si="74"/>
        <v>0</v>
      </c>
      <c r="AG200" s="209">
        <f t="shared" si="75"/>
        <v>0</v>
      </c>
      <c r="AH200" s="209">
        <f t="shared" si="76"/>
        <v>0</v>
      </c>
      <c r="AI200" s="219">
        <f t="shared" si="77"/>
        <v>0</v>
      </c>
      <c r="AJ200" s="425">
        <f t="shared" si="78"/>
        <v>0</v>
      </c>
      <c r="AK200" s="57">
        <f t="shared" si="79"/>
        <v>0</v>
      </c>
      <c r="AL200" s="90">
        <f t="shared" si="80"/>
        <v>0</v>
      </c>
      <c r="AM200" s="58">
        <f t="shared" si="81"/>
        <v>0</v>
      </c>
      <c r="AN200" s="57">
        <f t="shared" si="82"/>
        <v>0</v>
      </c>
      <c r="AO200" s="432">
        <f t="shared" si="83"/>
        <v>0</v>
      </c>
      <c r="AP200" s="90">
        <f>_xlfn.IFERROR(IF(Simulador!$U$30=1,0,IF($AK200&lt;=0.01,0,$AK200*Simulador!$AA$43)),0)+_xlfn.IFERROR(IF(Simulador!$U$30=1,0,IF($AK200&lt;=0.01,0,IF(Simulador!$D$22&gt;0,Simulador!$D$22,Simulador!$O$24)*Simulador!$AA$44)),0)</f>
        <v>0</v>
      </c>
      <c r="AQ200" s="90">
        <f t="shared" si="84"/>
        <v>0</v>
      </c>
      <c r="AR200" s="26">
        <f t="shared" si="85"/>
        <v>0</v>
      </c>
      <c r="AS200">
        <f t="shared" si="86"/>
        <v>0</v>
      </c>
      <c r="AT200" s="549">
        <f t="shared" si="87"/>
      </c>
      <c r="AU200" s="404">
        <f t="shared" si="88"/>
        <v>0</v>
      </c>
      <c r="AV200" s="52">
        <v>120</v>
      </c>
      <c r="AW200" s="27"/>
      <c r="AX200" s="424"/>
      <c r="AZ200" s="52"/>
    </row>
    <row r="201" spans="1:52" ht="12.75">
      <c r="A201" s="503">
        <f t="shared" si="89"/>
        <v>187</v>
      </c>
      <c r="B201" s="89">
        <f t="shared" si="68"/>
        <v>0</v>
      </c>
      <c r="C201" s="89"/>
      <c r="D201" s="90">
        <f>IF(B201+F201-D200&lt;=0,B201+F201,IF(AND(OR(Simulador!$U$39=2,Simulador!$U$39=7),J200=0),_xlfn.IFERROR((((P201/360*AU201)/(1-(1+(P201/360*AU201))^-AS201))*B201)*(1+AA201),0),IF($AF$3=2,B201*AJ201,_xlfn.IFERROR((((P201/360*AU201)/(1-(1+(P201/360*AU201))^-AS201))*B201)*(1+AA201),0))))</f>
        <v>0</v>
      </c>
      <c r="E201" s="90"/>
      <c r="F201" s="90">
        <f t="shared" si="69"/>
        <v>0</v>
      </c>
      <c r="G201" s="90"/>
      <c r="H201" s="90">
        <f t="shared" si="70"/>
        <v>0</v>
      </c>
      <c r="I201" s="91"/>
      <c r="J201" s="92"/>
      <c r="K201" s="91"/>
      <c r="L201" s="90">
        <f>IF(Simulador!$T$41=1,0,J201*Simulador!$W$39*1.16)</f>
        <v>0</v>
      </c>
      <c r="M201" s="90"/>
      <c r="N201" s="93"/>
      <c r="O201" s="12"/>
      <c r="P201" s="544">
        <f t="shared" si="71"/>
        <v>0</v>
      </c>
      <c r="Q201" s="4"/>
      <c r="R201" s="90">
        <f t="shared" si="72"/>
        <v>0</v>
      </c>
      <c r="S201" s="90"/>
      <c r="T201" s="90">
        <f>_xlfn.IFERROR(IF(Simulador!$U$30=1,0,IF($B201&lt;=0,0,$B201*Simulador!$AA$43)),0)</f>
        <v>0</v>
      </c>
      <c r="U201" s="90"/>
      <c r="V201" s="90">
        <f>_xlfn.IFERROR(IF(Simulador!$U$30=1,0,IF($B201&lt;=0,0,IF(Simulador!$D$22&gt;0,Simulador!$D$22,Simulador!$O$24)*Simulador!$AA$44)),0)</f>
        <v>0</v>
      </c>
      <c r="W201" s="90"/>
      <c r="X201" s="90"/>
      <c r="Y201" s="90">
        <f t="shared" si="73"/>
        <v>0</v>
      </c>
      <c r="Z201" s="13"/>
      <c r="AA201" s="18"/>
      <c r="AB201" s="23"/>
      <c r="AC201" s="364"/>
      <c r="AD201" s="222">
        <v>15</v>
      </c>
      <c r="AE201" s="219">
        <v>7</v>
      </c>
      <c r="AF201" s="269">
        <f t="shared" si="74"/>
        <v>0</v>
      </c>
      <c r="AG201" s="209">
        <f t="shared" si="75"/>
        <v>0</v>
      </c>
      <c r="AH201" s="209">
        <f t="shared" si="76"/>
        <v>0</v>
      </c>
      <c r="AI201" s="219">
        <f t="shared" si="77"/>
        <v>0</v>
      </c>
      <c r="AJ201" s="425">
        <f t="shared" si="78"/>
        <v>0</v>
      </c>
      <c r="AK201" s="57">
        <f t="shared" si="79"/>
        <v>0</v>
      </c>
      <c r="AL201" s="90">
        <f t="shared" si="80"/>
        <v>0</v>
      </c>
      <c r="AM201" s="58">
        <f t="shared" si="81"/>
        <v>0</v>
      </c>
      <c r="AN201" s="57">
        <f t="shared" si="82"/>
        <v>0</v>
      </c>
      <c r="AO201" s="432">
        <f t="shared" si="83"/>
        <v>0</v>
      </c>
      <c r="AP201" s="90">
        <f>_xlfn.IFERROR(IF(Simulador!$U$30=1,0,IF($AK201&lt;=0.01,0,$AK201*Simulador!$AA$43)),0)+_xlfn.IFERROR(IF(Simulador!$U$30=1,0,IF($AK201&lt;=0.01,0,IF(Simulador!$D$22&gt;0,Simulador!$D$22,Simulador!$O$24)*Simulador!$AA$44)),0)</f>
        <v>0</v>
      </c>
      <c r="AQ201" s="90">
        <f t="shared" si="84"/>
        <v>0</v>
      </c>
      <c r="AR201" s="26">
        <f t="shared" si="85"/>
        <v>0</v>
      </c>
      <c r="AS201">
        <f t="shared" si="86"/>
        <v>0</v>
      </c>
      <c r="AT201" s="549">
        <f t="shared" si="87"/>
      </c>
      <c r="AU201" s="404">
        <f t="shared" si="88"/>
        <v>0</v>
      </c>
      <c r="AV201" s="52">
        <v>120</v>
      </c>
      <c r="AW201" s="27"/>
      <c r="AX201" s="424"/>
      <c r="AZ201" s="52"/>
    </row>
    <row r="202" spans="1:52" ht="12.75">
      <c r="A202" s="503">
        <f t="shared" si="89"/>
        <v>188</v>
      </c>
      <c r="B202" s="89">
        <f t="shared" si="68"/>
        <v>0</v>
      </c>
      <c r="C202" s="89"/>
      <c r="D202" s="90">
        <f>IF(B202+F202-D201&lt;=0,B202+F202,IF(AND(OR(Simulador!$U$39=2,Simulador!$U$39=7),J201=0),_xlfn.IFERROR((((P202/360*AU202)/(1-(1+(P202/360*AU202))^-AS202))*B202)*(1+AA202),0),IF($AF$3=2,B202*AJ202,_xlfn.IFERROR((((P202/360*AU202)/(1-(1+(P202/360*AU202))^-AS202))*B202)*(1+AA202),0))))</f>
        <v>0</v>
      </c>
      <c r="E202" s="90"/>
      <c r="F202" s="90">
        <f t="shared" si="69"/>
        <v>0</v>
      </c>
      <c r="G202" s="90"/>
      <c r="H202" s="90">
        <f t="shared" si="70"/>
        <v>0</v>
      </c>
      <c r="I202" s="91"/>
      <c r="J202" s="92"/>
      <c r="K202" s="91"/>
      <c r="L202" s="90">
        <f>IF(Simulador!$T$41=1,0,J202*Simulador!$W$39*1.16)</f>
        <v>0</v>
      </c>
      <c r="M202" s="90"/>
      <c r="N202" s="93">
        <f t="shared" si="90"/>
        <v>0</v>
      </c>
      <c r="O202" s="12"/>
      <c r="P202" s="544">
        <f t="shared" si="71"/>
        <v>0</v>
      </c>
      <c r="Q202" s="4"/>
      <c r="R202" s="90">
        <f t="shared" si="72"/>
        <v>0</v>
      </c>
      <c r="S202" s="90"/>
      <c r="T202" s="90">
        <f>_xlfn.IFERROR(IF(Simulador!$U$30=1,0,IF($B202&lt;=0,0,$B202*Simulador!$AA$43)),0)</f>
        <v>0</v>
      </c>
      <c r="U202" s="90"/>
      <c r="V202" s="90">
        <f>_xlfn.IFERROR(IF(Simulador!$U$30=1,0,IF($B202&lt;=0,0,IF(Simulador!$D$22&gt;0,Simulador!$D$22,Simulador!$O$24)*Simulador!$AA$44)),0)</f>
        <v>0</v>
      </c>
      <c r="W202" s="90"/>
      <c r="X202" s="90"/>
      <c r="Y202" s="90">
        <f t="shared" si="73"/>
        <v>0</v>
      </c>
      <c r="Z202" s="13"/>
      <c r="AA202" s="18"/>
      <c r="AB202" s="23"/>
      <c r="AC202" s="364"/>
      <c r="AD202" s="222">
        <v>15</v>
      </c>
      <c r="AE202" s="219">
        <v>8</v>
      </c>
      <c r="AF202" s="269">
        <f t="shared" si="74"/>
        <v>0</v>
      </c>
      <c r="AG202" s="209">
        <f t="shared" si="75"/>
        <v>0</v>
      </c>
      <c r="AH202" s="209">
        <f t="shared" si="76"/>
        <v>0</v>
      </c>
      <c r="AI202" s="219">
        <f t="shared" si="77"/>
        <v>0</v>
      </c>
      <c r="AJ202" s="425">
        <f t="shared" si="78"/>
        <v>0</v>
      </c>
      <c r="AK202" s="57">
        <f t="shared" si="79"/>
        <v>0</v>
      </c>
      <c r="AL202" s="90">
        <f t="shared" si="80"/>
        <v>0</v>
      </c>
      <c r="AM202" s="58">
        <f t="shared" si="81"/>
        <v>0</v>
      </c>
      <c r="AN202" s="57">
        <f t="shared" si="82"/>
        <v>0</v>
      </c>
      <c r="AO202" s="432">
        <f t="shared" si="83"/>
        <v>0</v>
      </c>
      <c r="AP202" s="90">
        <f>_xlfn.IFERROR(IF(Simulador!$U$30=1,0,IF($AK202&lt;=0.01,0,$AK202*Simulador!$AA$43)),0)+_xlfn.IFERROR(IF(Simulador!$U$30=1,0,IF($AK202&lt;=0.01,0,IF(Simulador!$D$22&gt;0,Simulador!$D$22,Simulador!$O$24)*Simulador!$AA$44)),0)</f>
        <v>0</v>
      </c>
      <c r="AQ202" s="90">
        <f t="shared" si="84"/>
        <v>0</v>
      </c>
      <c r="AR202" s="26">
        <f t="shared" si="85"/>
        <v>0</v>
      </c>
      <c r="AS202">
        <f t="shared" si="86"/>
        <v>0</v>
      </c>
      <c r="AT202" s="549">
        <f t="shared" si="87"/>
      </c>
      <c r="AU202" s="404">
        <f t="shared" si="88"/>
        <v>0</v>
      </c>
      <c r="AV202" s="52">
        <v>120</v>
      </c>
      <c r="AW202" s="27"/>
      <c r="AX202" s="424"/>
      <c r="AZ202" s="52"/>
    </row>
    <row r="203" spans="1:52" ht="12.75">
      <c r="A203" s="503">
        <f t="shared" si="89"/>
        <v>189</v>
      </c>
      <c r="B203" s="89">
        <f t="shared" si="68"/>
        <v>0</v>
      </c>
      <c r="C203" s="89"/>
      <c r="D203" s="90">
        <f>IF(B203+F203-D202&lt;=0,B203+F203,IF(AND(OR(Simulador!$U$39=2,Simulador!$U$39=7),J202=0),_xlfn.IFERROR((((P203/360*AU203)/(1-(1+(P203/360*AU203))^-AS203))*B203)*(1+AA203),0),IF($AF$3=2,B203*AJ203,_xlfn.IFERROR((((P203/360*AU203)/(1-(1+(P203/360*AU203))^-AS203))*B203)*(1+AA203),0))))</f>
        <v>0</v>
      </c>
      <c r="E203" s="90"/>
      <c r="F203" s="90">
        <f t="shared" si="69"/>
        <v>0</v>
      </c>
      <c r="G203" s="90"/>
      <c r="H203" s="90">
        <f t="shared" si="70"/>
        <v>0</v>
      </c>
      <c r="I203" s="91"/>
      <c r="J203" s="92"/>
      <c r="K203" s="91"/>
      <c r="L203" s="90">
        <f>IF(Simulador!$T$41=1,0,J203*Simulador!$W$39*1.16)</f>
        <v>0</v>
      </c>
      <c r="M203" s="90"/>
      <c r="N203" s="93"/>
      <c r="O203" s="12"/>
      <c r="P203" s="544">
        <f t="shared" si="71"/>
        <v>0</v>
      </c>
      <c r="Q203" s="4"/>
      <c r="R203" s="90">
        <f t="shared" si="72"/>
        <v>0</v>
      </c>
      <c r="S203" s="90"/>
      <c r="T203" s="90">
        <f>_xlfn.IFERROR(IF(Simulador!$U$30=1,0,IF($B203&lt;=0,0,$B203*Simulador!$AA$43)),0)</f>
        <v>0</v>
      </c>
      <c r="U203" s="90"/>
      <c r="V203" s="90">
        <f>_xlfn.IFERROR(IF(Simulador!$U$30=1,0,IF($B203&lt;=0,0,IF(Simulador!$D$22&gt;0,Simulador!$D$22,Simulador!$O$24)*Simulador!$AA$44)),0)</f>
        <v>0</v>
      </c>
      <c r="W203" s="90"/>
      <c r="X203" s="90"/>
      <c r="Y203" s="90">
        <f t="shared" si="73"/>
        <v>0</v>
      </c>
      <c r="Z203" s="13"/>
      <c r="AA203" s="18"/>
      <c r="AB203" s="23"/>
      <c r="AC203" s="364"/>
      <c r="AD203" s="222">
        <v>15</v>
      </c>
      <c r="AE203" s="221">
        <v>9</v>
      </c>
      <c r="AF203" s="269">
        <f t="shared" si="74"/>
        <v>0</v>
      </c>
      <c r="AG203" s="209">
        <f t="shared" si="75"/>
        <v>0</v>
      </c>
      <c r="AH203" s="209">
        <f t="shared" si="76"/>
        <v>0</v>
      </c>
      <c r="AI203" s="219">
        <f t="shared" si="77"/>
        <v>0</v>
      </c>
      <c r="AJ203" s="425">
        <f t="shared" si="78"/>
        <v>0</v>
      </c>
      <c r="AK203" s="57">
        <f t="shared" si="79"/>
        <v>0</v>
      </c>
      <c r="AL203" s="90">
        <f t="shared" si="80"/>
        <v>0</v>
      </c>
      <c r="AM203" s="58">
        <f t="shared" si="81"/>
        <v>0</v>
      </c>
      <c r="AN203" s="57">
        <f t="shared" si="82"/>
        <v>0</v>
      </c>
      <c r="AO203" s="432">
        <f t="shared" si="83"/>
        <v>0</v>
      </c>
      <c r="AP203" s="90">
        <f>_xlfn.IFERROR(IF(Simulador!$U$30=1,0,IF($AK203&lt;=0.01,0,$AK203*Simulador!$AA$43)),0)+_xlfn.IFERROR(IF(Simulador!$U$30=1,0,IF($AK203&lt;=0.01,0,IF(Simulador!$D$22&gt;0,Simulador!$D$22,Simulador!$O$24)*Simulador!$AA$44)),0)</f>
        <v>0</v>
      </c>
      <c r="AQ203" s="90">
        <f t="shared" si="84"/>
        <v>0</v>
      </c>
      <c r="AR203" s="26">
        <f t="shared" si="85"/>
        <v>0</v>
      </c>
      <c r="AS203">
        <f t="shared" si="86"/>
        <v>0</v>
      </c>
      <c r="AT203" s="549">
        <f t="shared" si="87"/>
      </c>
      <c r="AU203" s="404">
        <f t="shared" si="88"/>
        <v>0</v>
      </c>
      <c r="AV203" s="52">
        <v>120</v>
      </c>
      <c r="AW203" s="27"/>
      <c r="AX203" s="424"/>
      <c r="AZ203" s="52"/>
    </row>
    <row r="204" spans="1:52" ht="12.75">
      <c r="A204" s="503">
        <f t="shared" si="89"/>
        <v>190</v>
      </c>
      <c r="B204" s="89">
        <f t="shared" si="68"/>
        <v>0</v>
      </c>
      <c r="C204" s="89"/>
      <c r="D204" s="90">
        <f>IF(B204+F204-D203&lt;=0,B204+F204,IF(AND(OR(Simulador!$U$39=2,Simulador!$U$39=7),J203=0),_xlfn.IFERROR((((P204/360*AU204)/(1-(1+(P204/360*AU204))^-AS204))*B204)*(1+AA204),0),IF($AF$3=2,B204*AJ204,_xlfn.IFERROR((((P204/360*AU204)/(1-(1+(P204/360*AU204))^-AS204))*B204)*(1+AA204),0))))</f>
        <v>0</v>
      </c>
      <c r="E204" s="90"/>
      <c r="F204" s="90">
        <f t="shared" si="69"/>
        <v>0</v>
      </c>
      <c r="G204" s="90"/>
      <c r="H204" s="90">
        <f t="shared" si="70"/>
        <v>0</v>
      </c>
      <c r="I204" s="91"/>
      <c r="J204" s="92"/>
      <c r="K204" s="91"/>
      <c r="L204" s="90">
        <f>IF(Simulador!$T$41=1,0,J204*Simulador!$W$39*1.16)</f>
        <v>0</v>
      </c>
      <c r="M204" s="90"/>
      <c r="N204" s="93">
        <f t="shared" si="90"/>
        <v>0</v>
      </c>
      <c r="O204" s="12"/>
      <c r="P204" s="544">
        <f t="shared" si="71"/>
        <v>0</v>
      </c>
      <c r="Q204" s="4"/>
      <c r="R204" s="90">
        <f t="shared" si="72"/>
        <v>0</v>
      </c>
      <c r="S204" s="90"/>
      <c r="T204" s="90">
        <f>_xlfn.IFERROR(IF(Simulador!$U$30=1,0,IF($B204&lt;=0,0,$B204*Simulador!$AA$43)),0)</f>
        <v>0</v>
      </c>
      <c r="U204" s="90"/>
      <c r="V204" s="90">
        <f>_xlfn.IFERROR(IF(Simulador!$U$30=1,0,IF($B204&lt;=0,0,IF(Simulador!$D$22&gt;0,Simulador!$D$22,Simulador!$O$24)*Simulador!$AA$44)),0)</f>
        <v>0</v>
      </c>
      <c r="W204" s="90"/>
      <c r="X204" s="90"/>
      <c r="Y204" s="90">
        <f t="shared" si="73"/>
        <v>0</v>
      </c>
      <c r="Z204" s="13"/>
      <c r="AA204" s="18"/>
      <c r="AB204" s="23"/>
      <c r="AC204" s="364"/>
      <c r="AD204" s="222">
        <v>15</v>
      </c>
      <c r="AE204" s="221">
        <v>10</v>
      </c>
      <c r="AF204" s="269">
        <f t="shared" si="74"/>
        <v>0</v>
      </c>
      <c r="AG204" s="209">
        <f t="shared" si="75"/>
        <v>0</v>
      </c>
      <c r="AH204" s="209">
        <f t="shared" si="76"/>
        <v>0</v>
      </c>
      <c r="AI204" s="219">
        <f t="shared" si="77"/>
        <v>0</v>
      </c>
      <c r="AJ204" s="425">
        <f t="shared" si="78"/>
        <v>0</v>
      </c>
      <c r="AK204" s="57">
        <f t="shared" si="79"/>
        <v>0</v>
      </c>
      <c r="AL204" s="90">
        <f t="shared" si="80"/>
        <v>0</v>
      </c>
      <c r="AM204" s="58">
        <f t="shared" si="81"/>
        <v>0</v>
      </c>
      <c r="AN204" s="57">
        <f t="shared" si="82"/>
        <v>0</v>
      </c>
      <c r="AO204" s="432">
        <f t="shared" si="83"/>
        <v>0</v>
      </c>
      <c r="AP204" s="90">
        <f>_xlfn.IFERROR(IF(Simulador!$U$30=1,0,IF($AK204&lt;=0.01,0,$AK204*Simulador!$AA$43)),0)+_xlfn.IFERROR(IF(Simulador!$U$30=1,0,IF($AK204&lt;=0.01,0,IF(Simulador!$D$22&gt;0,Simulador!$D$22,Simulador!$O$24)*Simulador!$AA$44)),0)</f>
        <v>0</v>
      </c>
      <c r="AQ204" s="90">
        <f t="shared" si="84"/>
        <v>0</v>
      </c>
      <c r="AR204" s="26">
        <f t="shared" si="85"/>
        <v>0</v>
      </c>
      <c r="AS204">
        <f t="shared" si="86"/>
        <v>0</v>
      </c>
      <c r="AT204" s="549">
        <f t="shared" si="87"/>
      </c>
      <c r="AU204" s="404">
        <f t="shared" si="88"/>
        <v>0</v>
      </c>
      <c r="AV204" s="52">
        <v>120</v>
      </c>
      <c r="AW204" s="27"/>
      <c r="AX204" s="424"/>
      <c r="AZ204" s="52"/>
    </row>
    <row r="205" spans="1:52" ht="12.75">
      <c r="A205" s="503">
        <f t="shared" si="89"/>
        <v>191</v>
      </c>
      <c r="B205" s="89">
        <f t="shared" si="68"/>
        <v>0</v>
      </c>
      <c r="C205" s="89"/>
      <c r="D205" s="90">
        <f>IF(B205+F205-D204&lt;=0,B205+F205,IF(AND(OR(Simulador!$U$39=2,Simulador!$U$39=7),J204=0),_xlfn.IFERROR((((P205/360*AU205)/(1-(1+(P205/360*AU205))^-AS205))*B205)*(1+AA205),0),IF($AF$3=2,B205*AJ205,_xlfn.IFERROR((((P205/360*AU205)/(1-(1+(P205/360*AU205))^-AS205))*B205)*(1+AA205),0))))</f>
        <v>0</v>
      </c>
      <c r="E205" s="90"/>
      <c r="F205" s="90">
        <f t="shared" si="69"/>
        <v>0</v>
      </c>
      <c r="G205" s="90"/>
      <c r="H205" s="90">
        <f t="shared" si="70"/>
        <v>0</v>
      </c>
      <c r="I205" s="91"/>
      <c r="J205" s="92"/>
      <c r="K205" s="91"/>
      <c r="L205" s="90">
        <f>IF(Simulador!$T$41=1,0,J205*Simulador!$W$39*1.16)</f>
        <v>0</v>
      </c>
      <c r="M205" s="90"/>
      <c r="N205" s="93"/>
      <c r="O205" s="12"/>
      <c r="P205" s="544">
        <f t="shared" si="71"/>
        <v>0</v>
      </c>
      <c r="Q205" s="4"/>
      <c r="R205" s="90">
        <f t="shared" si="72"/>
        <v>0</v>
      </c>
      <c r="S205" s="90"/>
      <c r="T205" s="90">
        <f>_xlfn.IFERROR(IF(Simulador!$U$30=1,0,IF($B205&lt;=0,0,$B205*Simulador!$AA$43)),0)</f>
        <v>0</v>
      </c>
      <c r="U205" s="90"/>
      <c r="V205" s="90">
        <f>_xlfn.IFERROR(IF(Simulador!$U$30=1,0,IF($B205&lt;=0,0,IF(Simulador!$D$22&gt;0,Simulador!$D$22,Simulador!$O$24)*Simulador!$AA$44)),0)</f>
        <v>0</v>
      </c>
      <c r="W205" s="90"/>
      <c r="X205" s="90"/>
      <c r="Y205" s="90">
        <f t="shared" si="73"/>
        <v>0</v>
      </c>
      <c r="Z205" s="13"/>
      <c r="AA205" s="18"/>
      <c r="AB205" s="23"/>
      <c r="AC205" s="364"/>
      <c r="AD205" s="222">
        <v>15</v>
      </c>
      <c r="AE205" s="219">
        <v>11</v>
      </c>
      <c r="AF205" s="269">
        <f t="shared" si="74"/>
        <v>0</v>
      </c>
      <c r="AG205" s="209">
        <f t="shared" si="75"/>
        <v>0</v>
      </c>
      <c r="AH205" s="209">
        <f t="shared" si="76"/>
        <v>0</v>
      </c>
      <c r="AI205" s="219">
        <f t="shared" si="77"/>
        <v>0</v>
      </c>
      <c r="AJ205" s="425">
        <f t="shared" si="78"/>
        <v>0</v>
      </c>
      <c r="AK205" s="57">
        <f t="shared" si="79"/>
        <v>0</v>
      </c>
      <c r="AL205" s="90">
        <f t="shared" si="80"/>
        <v>0</v>
      </c>
      <c r="AM205" s="58">
        <f t="shared" si="81"/>
        <v>0</v>
      </c>
      <c r="AN205" s="57">
        <f t="shared" si="82"/>
        <v>0</v>
      </c>
      <c r="AO205" s="432">
        <f t="shared" si="83"/>
        <v>0</v>
      </c>
      <c r="AP205" s="90">
        <f>_xlfn.IFERROR(IF(Simulador!$U$30=1,0,IF($AK205&lt;=0.01,0,$AK205*Simulador!$AA$43)),0)+_xlfn.IFERROR(IF(Simulador!$U$30=1,0,IF($AK205&lt;=0.01,0,IF(Simulador!$D$22&gt;0,Simulador!$D$22,Simulador!$O$24)*Simulador!$AA$44)),0)</f>
        <v>0</v>
      </c>
      <c r="AQ205" s="90">
        <f t="shared" si="84"/>
        <v>0</v>
      </c>
      <c r="AR205" s="26">
        <f t="shared" si="85"/>
        <v>0</v>
      </c>
      <c r="AS205">
        <f t="shared" si="86"/>
        <v>0</v>
      </c>
      <c r="AT205" s="549">
        <f t="shared" si="87"/>
      </c>
      <c r="AU205" s="404">
        <f t="shared" si="88"/>
        <v>0</v>
      </c>
      <c r="AV205" s="52">
        <v>120</v>
      </c>
      <c r="AW205" s="27"/>
      <c r="AX205" s="424"/>
      <c r="AZ205" s="52"/>
    </row>
    <row r="206" spans="1:52" ht="12.75">
      <c r="A206" s="503">
        <f t="shared" si="89"/>
        <v>192</v>
      </c>
      <c r="B206" s="89">
        <f t="shared" si="68"/>
        <v>0</v>
      </c>
      <c r="C206" s="89"/>
      <c r="D206" s="90">
        <f>IF(B206+F206-D205&lt;=0,B206+F206,IF(AND(OR(Simulador!$U$39=2,Simulador!$U$39=7),J205=0),_xlfn.IFERROR((((P206/360*AU206)/(1-(1+(P206/360*AU206))^-AS206))*B206)*(1+AA206),0),IF($AF$3=2,B206*AJ206,_xlfn.IFERROR((((P206/360*AU206)/(1-(1+(P206/360*AU206))^-AS206))*B206)*(1+AA206),0))))</f>
        <v>0</v>
      </c>
      <c r="E206" s="90"/>
      <c r="F206" s="90">
        <f t="shared" si="69"/>
        <v>0</v>
      </c>
      <c r="G206" s="90"/>
      <c r="H206" s="90">
        <f t="shared" si="70"/>
        <v>0</v>
      </c>
      <c r="I206" s="91"/>
      <c r="J206" s="92"/>
      <c r="K206" s="91"/>
      <c r="L206" s="90">
        <f>IF(Simulador!$T$41=1,0,J206*Simulador!$W$39*1.16)</f>
        <v>0</v>
      </c>
      <c r="M206" s="90"/>
      <c r="N206" s="93">
        <f t="shared" si="90"/>
        <v>0</v>
      </c>
      <c r="O206" s="12"/>
      <c r="P206" s="544">
        <f t="shared" si="71"/>
        <v>0</v>
      </c>
      <c r="Q206" s="4"/>
      <c r="R206" s="90">
        <f t="shared" si="72"/>
        <v>0</v>
      </c>
      <c r="S206" s="90"/>
      <c r="T206" s="90">
        <f>_xlfn.IFERROR(IF(Simulador!$U$30=1,0,IF($B206&lt;=0,0,$B206*Simulador!$AA$43)),0)</f>
        <v>0</v>
      </c>
      <c r="U206" s="90"/>
      <c r="V206" s="90">
        <f>_xlfn.IFERROR(IF(Simulador!$U$30=1,0,IF($B206&lt;=0,0,IF(Simulador!$D$22&gt;0,Simulador!$D$22,Simulador!$O$24)*Simulador!$AA$44)),0)</f>
        <v>0</v>
      </c>
      <c r="W206" s="90"/>
      <c r="X206" s="90"/>
      <c r="Y206" s="90">
        <f t="shared" si="73"/>
        <v>0</v>
      </c>
      <c r="Z206" s="13"/>
      <c r="AA206" s="18"/>
      <c r="AB206" s="23"/>
      <c r="AC206" s="364"/>
      <c r="AD206" s="222">
        <v>16</v>
      </c>
      <c r="AE206" s="219">
        <v>0</v>
      </c>
      <c r="AF206" s="269">
        <f t="shared" si="74"/>
        <v>0</v>
      </c>
      <c r="AG206" s="209">
        <f t="shared" si="75"/>
        <v>0</v>
      </c>
      <c r="AH206" s="209">
        <f t="shared" si="76"/>
        <v>0</v>
      </c>
      <c r="AI206" s="219">
        <f t="shared" si="77"/>
        <v>0</v>
      </c>
      <c r="AJ206" s="425">
        <f t="shared" si="78"/>
        <v>0</v>
      </c>
      <c r="AK206" s="57">
        <f t="shared" si="79"/>
        <v>0</v>
      </c>
      <c r="AL206" s="90">
        <f t="shared" si="80"/>
        <v>0</v>
      </c>
      <c r="AM206" s="58">
        <f t="shared" si="81"/>
        <v>0</v>
      </c>
      <c r="AN206" s="57">
        <f t="shared" si="82"/>
        <v>0</v>
      </c>
      <c r="AO206" s="432">
        <f t="shared" si="83"/>
        <v>0</v>
      </c>
      <c r="AP206" s="90">
        <f>_xlfn.IFERROR(IF(Simulador!$U$30=1,0,IF($AK206&lt;=0.01,0,$AK206*Simulador!$AA$43)),0)+_xlfn.IFERROR(IF(Simulador!$U$30=1,0,IF($AK206&lt;=0.01,0,IF(Simulador!$D$22&gt;0,Simulador!$D$22,Simulador!$O$24)*Simulador!$AA$44)),0)</f>
        <v>0</v>
      </c>
      <c r="AQ206" s="90">
        <f t="shared" si="84"/>
        <v>0</v>
      </c>
      <c r="AR206" s="26">
        <f t="shared" si="85"/>
        <v>0</v>
      </c>
      <c r="AS206">
        <f t="shared" si="86"/>
        <v>0</v>
      </c>
      <c r="AT206" s="549">
        <f t="shared" si="87"/>
      </c>
      <c r="AU206" s="404">
        <f t="shared" si="88"/>
        <v>0</v>
      </c>
      <c r="AV206" s="52">
        <v>120</v>
      </c>
      <c r="AW206" s="27"/>
      <c r="AX206" s="424"/>
      <c r="AZ206" s="52"/>
    </row>
    <row r="207" spans="1:52" ht="12.75">
      <c r="A207" s="503">
        <f t="shared" si="89"/>
        <v>193</v>
      </c>
      <c r="B207" s="89">
        <f t="shared" si="68"/>
        <v>0</v>
      </c>
      <c r="C207" s="89"/>
      <c r="D207" s="90">
        <f>IF(B207+F207-D206&lt;=0,B207+F207,IF(AND(OR(Simulador!$U$39=2,Simulador!$U$39=7),J206=0),_xlfn.IFERROR((((P207/360*AU207)/(1-(1+(P207/360*AU207))^-AS207))*B207)*(1+AA207),0),IF($AF$3=2,B207*AJ207,_xlfn.IFERROR((((P207/360*AU207)/(1-(1+(P207/360*AU207))^-AS207))*B207)*(1+AA207),0))))</f>
        <v>0</v>
      </c>
      <c r="E207" s="90"/>
      <c r="F207" s="90">
        <f t="shared" si="69"/>
        <v>0</v>
      </c>
      <c r="G207" s="90"/>
      <c r="H207" s="90">
        <f t="shared" si="70"/>
        <v>0</v>
      </c>
      <c r="I207" s="91"/>
      <c r="J207" s="92"/>
      <c r="K207" s="91"/>
      <c r="L207" s="90">
        <f>IF(Simulador!$T$41=1,0,J207*Simulador!$W$39*1.16)</f>
        <v>0</v>
      </c>
      <c r="M207" s="90"/>
      <c r="N207" s="93"/>
      <c r="O207" s="12"/>
      <c r="P207" s="544">
        <f t="shared" si="71"/>
        <v>0</v>
      </c>
      <c r="Q207" s="4"/>
      <c r="R207" s="90">
        <f t="shared" si="72"/>
        <v>0</v>
      </c>
      <c r="S207" s="90"/>
      <c r="T207" s="90">
        <f>_xlfn.IFERROR(IF(Simulador!$U$30=1,0,IF($B207&lt;=0,0,$B207*Simulador!$AA$43)),0)</f>
        <v>0</v>
      </c>
      <c r="U207" s="90"/>
      <c r="V207" s="90">
        <f>_xlfn.IFERROR(IF(Simulador!$U$30=1,0,IF($B207&lt;=0,0,IF(Simulador!$D$22&gt;0,Simulador!$D$22,Simulador!$O$24)*Simulador!$AA$44)),0)</f>
        <v>0</v>
      </c>
      <c r="W207" s="90"/>
      <c r="X207" s="90"/>
      <c r="Y207" s="90">
        <f t="shared" si="73"/>
        <v>0</v>
      </c>
      <c r="Z207" s="13"/>
      <c r="AA207" s="18"/>
      <c r="AB207" s="23"/>
      <c r="AC207" s="364"/>
      <c r="AD207" s="222">
        <v>16</v>
      </c>
      <c r="AE207" s="219">
        <v>1</v>
      </c>
      <c r="AF207" s="269">
        <f t="shared" si="74"/>
        <v>0</v>
      </c>
      <c r="AG207" s="209">
        <f t="shared" si="75"/>
        <v>0</v>
      </c>
      <c r="AH207" s="209">
        <f t="shared" si="76"/>
        <v>0</v>
      </c>
      <c r="AI207" s="219">
        <f t="shared" si="77"/>
        <v>0</v>
      </c>
      <c r="AJ207" s="425">
        <f t="shared" si="78"/>
        <v>0</v>
      </c>
      <c r="AK207" s="57">
        <f t="shared" si="79"/>
        <v>0</v>
      </c>
      <c r="AL207" s="90">
        <f t="shared" si="80"/>
        <v>0</v>
      </c>
      <c r="AM207" s="58">
        <f t="shared" si="81"/>
        <v>0</v>
      </c>
      <c r="AN207" s="57">
        <f t="shared" si="82"/>
        <v>0</v>
      </c>
      <c r="AO207" s="432">
        <f t="shared" si="83"/>
        <v>0</v>
      </c>
      <c r="AP207" s="90">
        <f>_xlfn.IFERROR(IF(Simulador!$U$30=1,0,IF($AK207&lt;=0.01,0,$AK207*Simulador!$AA$43)),0)+_xlfn.IFERROR(IF(Simulador!$U$30=1,0,IF($AK207&lt;=0.01,0,IF(Simulador!$D$22&gt;0,Simulador!$D$22,Simulador!$O$24)*Simulador!$AA$44)),0)</f>
        <v>0</v>
      </c>
      <c r="AQ207" s="90">
        <f t="shared" si="84"/>
        <v>0</v>
      </c>
      <c r="AR207" s="26">
        <f t="shared" si="85"/>
        <v>0</v>
      </c>
      <c r="AS207">
        <f t="shared" si="86"/>
        <v>0</v>
      </c>
      <c r="AT207" s="549">
        <f t="shared" si="87"/>
      </c>
      <c r="AU207" s="404">
        <f t="shared" si="88"/>
        <v>0</v>
      </c>
      <c r="AV207" s="52">
        <v>120</v>
      </c>
      <c r="AW207" s="27"/>
      <c r="AX207" s="424"/>
      <c r="AZ207" s="52"/>
    </row>
    <row r="208" spans="1:52" ht="12.75">
      <c r="A208" s="503">
        <f t="shared" si="89"/>
        <v>194</v>
      </c>
      <c r="B208" s="89">
        <f t="shared" si="68"/>
        <v>0</v>
      </c>
      <c r="C208" s="89"/>
      <c r="D208" s="90">
        <f>IF(B208+F208-D207&lt;=0,B208+F208,IF(AND(OR(Simulador!$U$39=2,Simulador!$U$39=7),J207=0),_xlfn.IFERROR((((P208/360*AU208)/(1-(1+(P208/360*AU208))^-AS208))*B208)*(1+AA208),0),IF($AF$3=2,B208*AJ208,_xlfn.IFERROR((((P208/360*AU208)/(1-(1+(P208/360*AU208))^-AS208))*B208)*(1+AA208),0))))</f>
        <v>0</v>
      </c>
      <c r="E208" s="90"/>
      <c r="F208" s="90">
        <f t="shared" si="69"/>
        <v>0</v>
      </c>
      <c r="G208" s="90"/>
      <c r="H208" s="90">
        <f t="shared" si="70"/>
        <v>0</v>
      </c>
      <c r="I208" s="91"/>
      <c r="J208" s="92"/>
      <c r="K208" s="91"/>
      <c r="L208" s="90">
        <f>IF(Simulador!$T$41=1,0,J208*Simulador!$W$39*1.16)</f>
        <v>0</v>
      </c>
      <c r="M208" s="90"/>
      <c r="N208" s="93">
        <f t="shared" si="90"/>
        <v>0</v>
      </c>
      <c r="O208" s="12"/>
      <c r="P208" s="544">
        <f t="shared" si="71"/>
        <v>0</v>
      </c>
      <c r="Q208" s="4"/>
      <c r="R208" s="90">
        <f t="shared" si="72"/>
        <v>0</v>
      </c>
      <c r="S208" s="90"/>
      <c r="T208" s="90">
        <f>_xlfn.IFERROR(IF(Simulador!$U$30=1,0,IF($B208&lt;=0,0,$B208*Simulador!$AA$43)),0)</f>
        <v>0</v>
      </c>
      <c r="U208" s="90"/>
      <c r="V208" s="90">
        <f>_xlfn.IFERROR(IF(Simulador!$U$30=1,0,IF($B208&lt;=0,0,IF(Simulador!$D$22&gt;0,Simulador!$D$22,Simulador!$O$24)*Simulador!$AA$44)),0)</f>
        <v>0</v>
      </c>
      <c r="W208" s="90"/>
      <c r="X208" s="90"/>
      <c r="Y208" s="90">
        <f t="shared" si="73"/>
        <v>0</v>
      </c>
      <c r="Z208" s="13"/>
      <c r="AA208" s="18"/>
      <c r="AB208" s="23"/>
      <c r="AC208" s="364"/>
      <c r="AD208" s="222">
        <v>16</v>
      </c>
      <c r="AE208" s="220">
        <v>2</v>
      </c>
      <c r="AF208" s="269">
        <f t="shared" si="74"/>
        <v>0</v>
      </c>
      <c r="AG208" s="209">
        <f t="shared" si="75"/>
        <v>0</v>
      </c>
      <c r="AH208" s="209">
        <f t="shared" si="76"/>
        <v>0</v>
      </c>
      <c r="AI208" s="219">
        <f t="shared" si="77"/>
        <v>0</v>
      </c>
      <c r="AJ208" s="425">
        <f t="shared" si="78"/>
        <v>0</v>
      </c>
      <c r="AK208" s="57">
        <f t="shared" si="79"/>
        <v>0</v>
      </c>
      <c r="AL208" s="90">
        <f t="shared" si="80"/>
        <v>0</v>
      </c>
      <c r="AM208" s="58">
        <f t="shared" si="81"/>
        <v>0</v>
      </c>
      <c r="AN208" s="57">
        <f t="shared" si="82"/>
        <v>0</v>
      </c>
      <c r="AO208" s="432">
        <f t="shared" si="83"/>
        <v>0</v>
      </c>
      <c r="AP208" s="90">
        <f>_xlfn.IFERROR(IF(Simulador!$U$30=1,0,IF($AK208&lt;=0.01,0,$AK208*Simulador!$AA$43)),0)+_xlfn.IFERROR(IF(Simulador!$U$30=1,0,IF($AK208&lt;=0.01,0,IF(Simulador!$D$22&gt;0,Simulador!$D$22,Simulador!$O$24)*Simulador!$AA$44)),0)</f>
        <v>0</v>
      </c>
      <c r="AQ208" s="90">
        <f t="shared" si="84"/>
        <v>0</v>
      </c>
      <c r="AR208" s="26">
        <f t="shared" si="85"/>
        <v>0</v>
      </c>
      <c r="AS208">
        <f t="shared" si="86"/>
        <v>0</v>
      </c>
      <c r="AT208" s="549">
        <f t="shared" si="87"/>
      </c>
      <c r="AU208" s="404">
        <f t="shared" si="88"/>
        <v>0</v>
      </c>
      <c r="AV208" s="52">
        <v>120</v>
      </c>
      <c r="AW208" s="27"/>
      <c r="AX208" s="424"/>
      <c r="AZ208" s="52"/>
    </row>
    <row r="209" spans="1:52" ht="12.75">
      <c r="A209" s="503">
        <f t="shared" si="89"/>
        <v>195</v>
      </c>
      <c r="B209" s="89">
        <f t="shared" si="68"/>
        <v>0</v>
      </c>
      <c r="C209" s="89"/>
      <c r="D209" s="90">
        <f>IF(B209+F209-D208&lt;=0,B209+F209,IF(AND(OR(Simulador!$U$39=2,Simulador!$U$39=7),J208=0),_xlfn.IFERROR((((P209/360*AU209)/(1-(1+(P209/360*AU209))^-AS209))*B209)*(1+AA209),0),IF($AF$3=2,B209*AJ209,_xlfn.IFERROR((((P209/360*AU209)/(1-(1+(P209/360*AU209))^-AS209))*B209)*(1+AA209),0))))</f>
        <v>0</v>
      </c>
      <c r="E209" s="90"/>
      <c r="F209" s="90">
        <f t="shared" si="69"/>
        <v>0</v>
      </c>
      <c r="G209" s="90"/>
      <c r="H209" s="90">
        <f t="shared" si="70"/>
        <v>0</v>
      </c>
      <c r="I209" s="91"/>
      <c r="J209" s="92"/>
      <c r="K209" s="91"/>
      <c r="L209" s="90">
        <f>IF(Simulador!$T$41=1,0,J209*Simulador!$W$39*1.16)</f>
        <v>0</v>
      </c>
      <c r="M209" s="90"/>
      <c r="N209" s="93"/>
      <c r="O209" s="12"/>
      <c r="P209" s="544">
        <f t="shared" si="71"/>
        <v>0</v>
      </c>
      <c r="Q209" s="4"/>
      <c r="R209" s="90">
        <f t="shared" si="72"/>
        <v>0</v>
      </c>
      <c r="S209" s="90"/>
      <c r="T209" s="90">
        <f>_xlfn.IFERROR(IF(Simulador!$U$30=1,0,IF($B209&lt;=0,0,$B209*Simulador!$AA$43)),0)</f>
        <v>0</v>
      </c>
      <c r="U209" s="90"/>
      <c r="V209" s="90">
        <f>_xlfn.IFERROR(IF(Simulador!$U$30=1,0,IF($B209&lt;=0,0,IF(Simulador!$D$22&gt;0,Simulador!$D$22,Simulador!$O$24)*Simulador!$AA$44)),0)</f>
        <v>0</v>
      </c>
      <c r="W209" s="90"/>
      <c r="X209" s="90"/>
      <c r="Y209" s="90">
        <f t="shared" si="73"/>
        <v>0</v>
      </c>
      <c r="Z209" s="13"/>
      <c r="AA209" s="18"/>
      <c r="AB209" s="23"/>
      <c r="AC209" s="364"/>
      <c r="AD209" s="222">
        <v>16</v>
      </c>
      <c r="AE209" s="220">
        <v>3</v>
      </c>
      <c r="AF209" s="269">
        <f t="shared" si="74"/>
        <v>0</v>
      </c>
      <c r="AG209" s="209">
        <f t="shared" si="75"/>
        <v>0</v>
      </c>
      <c r="AH209" s="209">
        <f t="shared" si="76"/>
        <v>0</v>
      </c>
      <c r="AI209" s="219">
        <f t="shared" si="77"/>
        <v>0</v>
      </c>
      <c r="AJ209" s="425">
        <f t="shared" si="78"/>
        <v>0</v>
      </c>
      <c r="AK209" s="57">
        <f t="shared" si="79"/>
        <v>0</v>
      </c>
      <c r="AL209" s="90">
        <f t="shared" si="80"/>
        <v>0</v>
      </c>
      <c r="AM209" s="58">
        <f t="shared" si="81"/>
        <v>0</v>
      </c>
      <c r="AN209" s="57">
        <f t="shared" si="82"/>
        <v>0</v>
      </c>
      <c r="AO209" s="432">
        <f t="shared" si="83"/>
        <v>0</v>
      </c>
      <c r="AP209" s="90">
        <f>_xlfn.IFERROR(IF(Simulador!$U$30=1,0,IF($AK209&lt;=0.01,0,$AK209*Simulador!$AA$43)),0)+_xlfn.IFERROR(IF(Simulador!$U$30=1,0,IF($AK209&lt;=0.01,0,IF(Simulador!$D$22&gt;0,Simulador!$D$22,Simulador!$O$24)*Simulador!$AA$44)),0)</f>
        <v>0</v>
      </c>
      <c r="AQ209" s="90">
        <f t="shared" si="84"/>
        <v>0</v>
      </c>
      <c r="AR209" s="26">
        <f t="shared" si="85"/>
        <v>0</v>
      </c>
      <c r="AS209">
        <f t="shared" si="86"/>
        <v>0</v>
      </c>
      <c r="AT209" s="549">
        <f t="shared" si="87"/>
      </c>
      <c r="AU209" s="404">
        <f t="shared" si="88"/>
        <v>0</v>
      </c>
      <c r="AV209" s="52">
        <v>120</v>
      </c>
      <c r="AW209" s="27"/>
      <c r="AX209" s="424"/>
      <c r="AZ209" s="52"/>
    </row>
    <row r="210" spans="1:52" ht="12.75">
      <c r="A210" s="503">
        <f t="shared" si="89"/>
        <v>196</v>
      </c>
      <c r="B210" s="89">
        <f t="shared" si="68"/>
        <v>0</v>
      </c>
      <c r="C210" s="89"/>
      <c r="D210" s="90">
        <f>IF(B210+F210-D209&lt;=0,B210+F210,IF(AND(OR(Simulador!$U$39=2,Simulador!$U$39=7),J209=0),_xlfn.IFERROR((((P210/360*AU210)/(1-(1+(P210/360*AU210))^-AS210))*B210)*(1+AA210),0),IF($AF$3=2,B210*AJ210,_xlfn.IFERROR((((P210/360*AU210)/(1-(1+(P210/360*AU210))^-AS210))*B210)*(1+AA210),0))))</f>
        <v>0</v>
      </c>
      <c r="E210" s="90"/>
      <c r="F210" s="90">
        <f t="shared" si="69"/>
        <v>0</v>
      </c>
      <c r="G210" s="90"/>
      <c r="H210" s="90">
        <f t="shared" si="70"/>
        <v>0</v>
      </c>
      <c r="I210" s="91"/>
      <c r="J210" s="92"/>
      <c r="K210" s="91"/>
      <c r="L210" s="90">
        <f>IF(Simulador!$T$41=1,0,J210*Simulador!$W$39*1.16)</f>
        <v>0</v>
      </c>
      <c r="M210" s="90"/>
      <c r="N210" s="93">
        <f t="shared" si="90"/>
        <v>0</v>
      </c>
      <c r="O210" s="12"/>
      <c r="P210" s="544">
        <f t="shared" si="71"/>
        <v>0</v>
      </c>
      <c r="Q210" s="4"/>
      <c r="R210" s="90">
        <f t="shared" si="72"/>
        <v>0</v>
      </c>
      <c r="S210" s="90"/>
      <c r="T210" s="90">
        <f>_xlfn.IFERROR(IF(Simulador!$U$30=1,0,IF($B210&lt;=0,0,$B210*Simulador!$AA$43)),0)</f>
        <v>0</v>
      </c>
      <c r="U210" s="90"/>
      <c r="V210" s="90">
        <f>_xlfn.IFERROR(IF(Simulador!$U$30=1,0,IF($B210&lt;=0,0,IF(Simulador!$D$22&gt;0,Simulador!$D$22,Simulador!$O$24)*Simulador!$AA$44)),0)</f>
        <v>0</v>
      </c>
      <c r="W210" s="90"/>
      <c r="X210" s="90"/>
      <c r="Y210" s="90">
        <f t="shared" si="73"/>
        <v>0</v>
      </c>
      <c r="Z210" s="13"/>
      <c r="AA210" s="18"/>
      <c r="AB210" s="23"/>
      <c r="AC210" s="364"/>
      <c r="AD210" s="222">
        <v>16</v>
      </c>
      <c r="AE210" s="219">
        <v>4</v>
      </c>
      <c r="AF210" s="269">
        <f t="shared" si="74"/>
        <v>0</v>
      </c>
      <c r="AG210" s="209">
        <f t="shared" si="75"/>
        <v>0</v>
      </c>
      <c r="AH210" s="209">
        <f t="shared" si="76"/>
        <v>0</v>
      </c>
      <c r="AI210" s="219">
        <f t="shared" si="77"/>
        <v>0</v>
      </c>
      <c r="AJ210" s="425">
        <f t="shared" si="78"/>
        <v>0</v>
      </c>
      <c r="AK210" s="57">
        <f t="shared" si="79"/>
        <v>0</v>
      </c>
      <c r="AL210" s="90">
        <f t="shared" si="80"/>
        <v>0</v>
      </c>
      <c r="AM210" s="58">
        <f t="shared" si="81"/>
        <v>0</v>
      </c>
      <c r="AN210" s="57">
        <f t="shared" si="82"/>
        <v>0</v>
      </c>
      <c r="AO210" s="432">
        <f t="shared" si="83"/>
        <v>0</v>
      </c>
      <c r="AP210" s="90">
        <f>_xlfn.IFERROR(IF(Simulador!$U$30=1,0,IF($AK210&lt;=0.01,0,$AK210*Simulador!$AA$43)),0)+_xlfn.IFERROR(IF(Simulador!$U$30=1,0,IF($AK210&lt;=0.01,0,IF(Simulador!$D$22&gt;0,Simulador!$D$22,Simulador!$O$24)*Simulador!$AA$44)),0)</f>
        <v>0</v>
      </c>
      <c r="AQ210" s="90">
        <f t="shared" si="84"/>
        <v>0</v>
      </c>
      <c r="AR210" s="26">
        <f t="shared" si="85"/>
        <v>0</v>
      </c>
      <c r="AS210">
        <f t="shared" si="86"/>
        <v>0</v>
      </c>
      <c r="AT210" s="549">
        <f t="shared" si="87"/>
      </c>
      <c r="AU210" s="404">
        <f t="shared" si="88"/>
        <v>0</v>
      </c>
      <c r="AV210" s="52">
        <v>120</v>
      </c>
      <c r="AW210" s="27"/>
      <c r="AX210" s="424"/>
      <c r="AZ210" s="52"/>
    </row>
    <row r="211" spans="1:52" ht="12.75">
      <c r="A211" s="503">
        <f t="shared" si="89"/>
        <v>197</v>
      </c>
      <c r="B211" s="89">
        <f t="shared" si="68"/>
        <v>0</v>
      </c>
      <c r="C211" s="89"/>
      <c r="D211" s="90">
        <f>IF(B211+F211-D210&lt;=0,B211+F211,IF(AND(OR(Simulador!$U$39=2,Simulador!$U$39=7),J210=0),_xlfn.IFERROR((((P211/360*AU211)/(1-(1+(P211/360*AU211))^-AS211))*B211)*(1+AA211),0),IF($AF$3=2,B211*AJ211,_xlfn.IFERROR((((P211/360*AU211)/(1-(1+(P211/360*AU211))^-AS211))*B211)*(1+AA211),0))))</f>
        <v>0</v>
      </c>
      <c r="E211" s="90"/>
      <c r="F211" s="90">
        <f t="shared" si="69"/>
        <v>0</v>
      </c>
      <c r="G211" s="90"/>
      <c r="H211" s="90">
        <f t="shared" si="70"/>
        <v>0</v>
      </c>
      <c r="I211" s="91"/>
      <c r="J211" s="92"/>
      <c r="K211" s="91"/>
      <c r="L211" s="90">
        <f>IF(Simulador!$T$41=1,0,J211*Simulador!$W$39*1.16)</f>
        <v>0</v>
      </c>
      <c r="M211" s="90"/>
      <c r="N211" s="93"/>
      <c r="O211" s="12"/>
      <c r="P211" s="544">
        <f t="shared" si="71"/>
        <v>0</v>
      </c>
      <c r="Q211" s="4"/>
      <c r="R211" s="90">
        <f t="shared" si="72"/>
        <v>0</v>
      </c>
      <c r="S211" s="90"/>
      <c r="T211" s="90">
        <f>_xlfn.IFERROR(IF(Simulador!$U$30=1,0,IF($B211&lt;=0,0,$B211*Simulador!$AA$43)),0)</f>
        <v>0</v>
      </c>
      <c r="U211" s="90"/>
      <c r="V211" s="90">
        <f>_xlfn.IFERROR(IF(Simulador!$U$30=1,0,IF($B211&lt;=0,0,IF(Simulador!$D$22&gt;0,Simulador!$D$22,Simulador!$O$24)*Simulador!$AA$44)),0)</f>
        <v>0</v>
      </c>
      <c r="W211" s="90"/>
      <c r="X211" s="90"/>
      <c r="Y211" s="90">
        <f t="shared" si="73"/>
        <v>0</v>
      </c>
      <c r="Z211" s="13"/>
      <c r="AA211" s="18"/>
      <c r="AB211" s="23"/>
      <c r="AC211" s="364"/>
      <c r="AD211" s="222">
        <v>16</v>
      </c>
      <c r="AE211" s="219">
        <v>5</v>
      </c>
      <c r="AF211" s="269">
        <f t="shared" si="74"/>
        <v>0</v>
      </c>
      <c r="AG211" s="209">
        <f t="shared" si="75"/>
        <v>0</v>
      </c>
      <c r="AH211" s="209">
        <f t="shared" si="76"/>
        <v>0</v>
      </c>
      <c r="AI211" s="219">
        <f t="shared" si="77"/>
        <v>0</v>
      </c>
      <c r="AJ211" s="425">
        <f t="shared" si="78"/>
        <v>0</v>
      </c>
      <c r="AK211" s="57">
        <f t="shared" si="79"/>
        <v>0</v>
      </c>
      <c r="AL211" s="90">
        <f t="shared" si="80"/>
        <v>0</v>
      </c>
      <c r="AM211" s="58">
        <f t="shared" si="81"/>
        <v>0</v>
      </c>
      <c r="AN211" s="57">
        <f t="shared" si="82"/>
        <v>0</v>
      </c>
      <c r="AO211" s="432">
        <f t="shared" si="83"/>
        <v>0</v>
      </c>
      <c r="AP211" s="90">
        <f>_xlfn.IFERROR(IF(Simulador!$U$30=1,0,IF($AK211&lt;=0.01,0,$AK211*Simulador!$AA$43)),0)+_xlfn.IFERROR(IF(Simulador!$U$30=1,0,IF($AK211&lt;=0.01,0,IF(Simulador!$D$22&gt;0,Simulador!$D$22,Simulador!$O$24)*Simulador!$AA$44)),0)</f>
        <v>0</v>
      </c>
      <c r="AQ211" s="90">
        <f t="shared" si="84"/>
        <v>0</v>
      </c>
      <c r="AR211" s="26">
        <f t="shared" si="85"/>
        <v>0</v>
      </c>
      <c r="AS211">
        <f t="shared" si="86"/>
        <v>0</v>
      </c>
      <c r="AT211" s="549">
        <f t="shared" si="87"/>
      </c>
      <c r="AU211" s="404">
        <f t="shared" si="88"/>
        <v>0</v>
      </c>
      <c r="AV211" s="52">
        <v>120</v>
      </c>
      <c r="AW211" s="27"/>
      <c r="AX211" s="424"/>
      <c r="AZ211" s="52"/>
    </row>
    <row r="212" spans="1:52" ht="12.75">
      <c r="A212" s="503">
        <f t="shared" si="89"/>
        <v>198</v>
      </c>
      <c r="B212" s="89">
        <f t="shared" si="68"/>
        <v>0</v>
      </c>
      <c r="C212" s="89"/>
      <c r="D212" s="90">
        <f>IF(B212+F212-D211&lt;=0,B212+F212,IF(AND(OR(Simulador!$U$39=2,Simulador!$U$39=7),J211=0),_xlfn.IFERROR((((P212/360*AU212)/(1-(1+(P212/360*AU212))^-AS212))*B212)*(1+AA212),0),IF($AF$3=2,B212*AJ212,_xlfn.IFERROR((((P212/360*AU212)/(1-(1+(P212/360*AU212))^-AS212))*B212)*(1+AA212),0))))</f>
        <v>0</v>
      </c>
      <c r="E212" s="90"/>
      <c r="F212" s="90">
        <f t="shared" si="69"/>
        <v>0</v>
      </c>
      <c r="G212" s="90"/>
      <c r="H212" s="90">
        <f t="shared" si="70"/>
        <v>0</v>
      </c>
      <c r="I212" s="91"/>
      <c r="J212" s="92"/>
      <c r="K212" s="91"/>
      <c r="L212" s="90">
        <f>IF(Simulador!$T$41=1,0,J212*Simulador!$W$39*1.16)</f>
        <v>0</v>
      </c>
      <c r="M212" s="90"/>
      <c r="N212" s="93">
        <f t="shared" si="90"/>
        <v>0</v>
      </c>
      <c r="O212" s="12"/>
      <c r="P212" s="544">
        <f t="shared" si="71"/>
        <v>0</v>
      </c>
      <c r="Q212" s="4"/>
      <c r="R212" s="90">
        <f t="shared" si="72"/>
        <v>0</v>
      </c>
      <c r="S212" s="90"/>
      <c r="T212" s="90">
        <f>_xlfn.IFERROR(IF(Simulador!$U$30=1,0,IF($B212&lt;=0,0,$B212*Simulador!$AA$43)),0)</f>
        <v>0</v>
      </c>
      <c r="U212" s="90"/>
      <c r="V212" s="90">
        <f>_xlfn.IFERROR(IF(Simulador!$U$30=1,0,IF($B212&lt;=0,0,IF(Simulador!$D$22&gt;0,Simulador!$D$22,Simulador!$O$24)*Simulador!$AA$44)),0)</f>
        <v>0</v>
      </c>
      <c r="W212" s="90"/>
      <c r="X212" s="90"/>
      <c r="Y212" s="90">
        <f t="shared" si="73"/>
        <v>0</v>
      </c>
      <c r="Z212" s="13"/>
      <c r="AA212" s="18"/>
      <c r="AB212" s="23"/>
      <c r="AC212" s="364"/>
      <c r="AD212" s="222">
        <v>16</v>
      </c>
      <c r="AE212" s="219">
        <v>6</v>
      </c>
      <c r="AF212" s="269">
        <f t="shared" si="74"/>
        <v>0</v>
      </c>
      <c r="AG212" s="209">
        <f t="shared" si="75"/>
        <v>0</v>
      </c>
      <c r="AH212" s="209">
        <f t="shared" si="76"/>
        <v>0</v>
      </c>
      <c r="AI212" s="219">
        <f t="shared" si="77"/>
        <v>0</v>
      </c>
      <c r="AJ212" s="425">
        <f t="shared" si="78"/>
        <v>0</v>
      </c>
      <c r="AK212" s="57">
        <f t="shared" si="79"/>
        <v>0</v>
      </c>
      <c r="AL212" s="90">
        <f t="shared" si="80"/>
        <v>0</v>
      </c>
      <c r="AM212" s="58">
        <f t="shared" si="81"/>
        <v>0</v>
      </c>
      <c r="AN212" s="57">
        <f t="shared" si="82"/>
        <v>0</v>
      </c>
      <c r="AO212" s="432">
        <f t="shared" si="83"/>
        <v>0</v>
      </c>
      <c r="AP212" s="90">
        <f>_xlfn.IFERROR(IF(Simulador!$U$30=1,0,IF($AK212&lt;=0.01,0,$AK212*Simulador!$AA$43)),0)+_xlfn.IFERROR(IF(Simulador!$U$30=1,0,IF($AK212&lt;=0.01,0,IF(Simulador!$D$22&gt;0,Simulador!$D$22,Simulador!$O$24)*Simulador!$AA$44)),0)</f>
        <v>0</v>
      </c>
      <c r="AQ212" s="90">
        <f t="shared" si="84"/>
        <v>0</v>
      </c>
      <c r="AR212" s="26">
        <f t="shared" si="85"/>
        <v>0</v>
      </c>
      <c r="AS212">
        <f t="shared" si="86"/>
        <v>0</v>
      </c>
      <c r="AT212" s="549">
        <f t="shared" si="87"/>
      </c>
      <c r="AU212" s="404">
        <f t="shared" si="88"/>
        <v>0</v>
      </c>
      <c r="AV212" s="52">
        <v>120</v>
      </c>
      <c r="AW212" s="27"/>
      <c r="AX212" s="424"/>
      <c r="AZ212" s="52"/>
    </row>
    <row r="213" spans="1:52" ht="12.75">
      <c r="A213" s="503">
        <f t="shared" si="89"/>
        <v>199</v>
      </c>
      <c r="B213" s="89">
        <f t="shared" si="68"/>
        <v>0</v>
      </c>
      <c r="C213" s="89"/>
      <c r="D213" s="90">
        <f>IF(B213+F213-D212&lt;=0,B213+F213,IF(AND(OR(Simulador!$U$39=2,Simulador!$U$39=7),J212=0),_xlfn.IFERROR((((P213/360*AU213)/(1-(1+(P213/360*AU213))^-AS213))*B213)*(1+AA213),0),IF($AF$3=2,B213*AJ213,_xlfn.IFERROR((((P213/360*AU213)/(1-(1+(P213/360*AU213))^-AS213))*B213)*(1+AA213),0))))</f>
        <v>0</v>
      </c>
      <c r="E213" s="90"/>
      <c r="F213" s="90">
        <f t="shared" si="69"/>
        <v>0</v>
      </c>
      <c r="G213" s="90"/>
      <c r="H213" s="90">
        <f t="shared" si="70"/>
        <v>0</v>
      </c>
      <c r="I213" s="91"/>
      <c r="J213" s="92"/>
      <c r="K213" s="91"/>
      <c r="L213" s="90">
        <f>IF(Simulador!$T$41=1,0,J213*Simulador!$W$39*1.16)</f>
        <v>0</v>
      </c>
      <c r="M213" s="90"/>
      <c r="N213" s="93"/>
      <c r="O213" s="12"/>
      <c r="P213" s="544">
        <f t="shared" si="71"/>
        <v>0</v>
      </c>
      <c r="Q213" s="4"/>
      <c r="R213" s="90">
        <f t="shared" si="72"/>
        <v>0</v>
      </c>
      <c r="S213" s="90"/>
      <c r="T213" s="90">
        <f>_xlfn.IFERROR(IF(Simulador!$U$30=1,0,IF($B213&lt;=0,0,$B213*Simulador!$AA$43)),0)</f>
        <v>0</v>
      </c>
      <c r="U213" s="90"/>
      <c r="V213" s="90">
        <f>_xlfn.IFERROR(IF(Simulador!$U$30=1,0,IF($B213&lt;=0,0,IF(Simulador!$D$22&gt;0,Simulador!$D$22,Simulador!$O$24)*Simulador!$AA$44)),0)</f>
        <v>0</v>
      </c>
      <c r="W213" s="90"/>
      <c r="X213" s="90"/>
      <c r="Y213" s="90">
        <f t="shared" si="73"/>
        <v>0</v>
      </c>
      <c r="Z213" s="13"/>
      <c r="AA213" s="18"/>
      <c r="AB213" s="23"/>
      <c r="AC213" s="364"/>
      <c r="AD213" s="222">
        <v>16</v>
      </c>
      <c r="AE213" s="219">
        <v>7</v>
      </c>
      <c r="AF213" s="269">
        <f t="shared" si="74"/>
        <v>0</v>
      </c>
      <c r="AG213" s="209">
        <f t="shared" si="75"/>
        <v>0</v>
      </c>
      <c r="AH213" s="209">
        <f t="shared" si="76"/>
        <v>0</v>
      </c>
      <c r="AI213" s="219">
        <f t="shared" si="77"/>
        <v>0</v>
      </c>
      <c r="AJ213" s="425">
        <f t="shared" si="78"/>
        <v>0</v>
      </c>
      <c r="AK213" s="57">
        <f t="shared" si="79"/>
        <v>0</v>
      </c>
      <c r="AL213" s="90">
        <f t="shared" si="80"/>
        <v>0</v>
      </c>
      <c r="AM213" s="58">
        <f t="shared" si="81"/>
        <v>0</v>
      </c>
      <c r="AN213" s="57">
        <f t="shared" si="82"/>
        <v>0</v>
      </c>
      <c r="AO213" s="432">
        <f t="shared" si="83"/>
        <v>0</v>
      </c>
      <c r="AP213" s="90">
        <f>_xlfn.IFERROR(IF(Simulador!$U$30=1,0,IF($AK213&lt;=0.01,0,$AK213*Simulador!$AA$43)),0)+_xlfn.IFERROR(IF(Simulador!$U$30=1,0,IF($AK213&lt;=0.01,0,IF(Simulador!$D$22&gt;0,Simulador!$D$22,Simulador!$O$24)*Simulador!$AA$44)),0)</f>
        <v>0</v>
      </c>
      <c r="AQ213" s="90">
        <f t="shared" si="84"/>
        <v>0</v>
      </c>
      <c r="AR213" s="26">
        <f t="shared" si="85"/>
        <v>0</v>
      </c>
      <c r="AS213">
        <f t="shared" si="86"/>
        <v>0</v>
      </c>
      <c r="AT213" s="549">
        <f t="shared" si="87"/>
      </c>
      <c r="AU213" s="404">
        <f t="shared" si="88"/>
        <v>0</v>
      </c>
      <c r="AV213" s="52">
        <v>120</v>
      </c>
      <c r="AW213" s="27"/>
      <c r="AX213" s="424"/>
      <c r="AZ213" s="52"/>
    </row>
    <row r="214" spans="1:52" ht="12.75">
      <c r="A214" s="503">
        <f t="shared" si="89"/>
        <v>200</v>
      </c>
      <c r="B214" s="89">
        <f t="shared" si="68"/>
        <v>0</v>
      </c>
      <c r="C214" s="89"/>
      <c r="D214" s="90">
        <f>IF(B214+F214-D213&lt;=0,B214+F214,IF(AND(OR(Simulador!$U$39=2,Simulador!$U$39=7),J213=0),_xlfn.IFERROR((((P214/360*AU214)/(1-(1+(P214/360*AU214))^-AS214))*B214)*(1+AA214),0),IF($AF$3=2,B214*AJ214,_xlfn.IFERROR((((P214/360*AU214)/(1-(1+(P214/360*AU214))^-AS214))*B214)*(1+AA214),0))))</f>
        <v>0</v>
      </c>
      <c r="E214" s="90"/>
      <c r="F214" s="90">
        <f t="shared" si="69"/>
        <v>0</v>
      </c>
      <c r="G214" s="90"/>
      <c r="H214" s="90">
        <f t="shared" si="70"/>
        <v>0</v>
      </c>
      <c r="I214" s="91"/>
      <c r="J214" s="92"/>
      <c r="K214" s="91"/>
      <c r="L214" s="90">
        <f>IF(Simulador!$T$41=1,0,J214*Simulador!$W$39*1.16)</f>
        <v>0</v>
      </c>
      <c r="M214" s="90"/>
      <c r="N214" s="93">
        <f t="shared" si="90"/>
        <v>0</v>
      </c>
      <c r="O214" s="12"/>
      <c r="P214" s="544">
        <f t="shared" si="71"/>
        <v>0</v>
      </c>
      <c r="Q214" s="4"/>
      <c r="R214" s="90">
        <f t="shared" si="72"/>
        <v>0</v>
      </c>
      <c r="S214" s="90"/>
      <c r="T214" s="90">
        <f>_xlfn.IFERROR(IF(Simulador!$U$30=1,0,IF($B214&lt;=0,0,$B214*Simulador!$AA$43)),0)</f>
        <v>0</v>
      </c>
      <c r="U214" s="90"/>
      <c r="V214" s="90">
        <f>_xlfn.IFERROR(IF(Simulador!$U$30=1,0,IF($B214&lt;=0,0,IF(Simulador!$D$22&gt;0,Simulador!$D$22,Simulador!$O$24)*Simulador!$AA$44)),0)</f>
        <v>0</v>
      </c>
      <c r="W214" s="90"/>
      <c r="X214" s="90"/>
      <c r="Y214" s="90">
        <f t="shared" si="73"/>
        <v>0</v>
      </c>
      <c r="Z214" s="13"/>
      <c r="AA214" s="18"/>
      <c r="AB214" s="23"/>
      <c r="AC214" s="364"/>
      <c r="AD214" s="222">
        <v>16</v>
      </c>
      <c r="AE214" s="219">
        <v>8</v>
      </c>
      <c r="AF214" s="269">
        <f t="shared" si="74"/>
        <v>0</v>
      </c>
      <c r="AG214" s="209">
        <f t="shared" si="75"/>
        <v>0</v>
      </c>
      <c r="AH214" s="209">
        <f t="shared" si="76"/>
        <v>0</v>
      </c>
      <c r="AI214" s="219">
        <f t="shared" si="77"/>
        <v>0</v>
      </c>
      <c r="AJ214" s="425">
        <f t="shared" si="78"/>
        <v>0</v>
      </c>
      <c r="AK214" s="57">
        <f t="shared" si="79"/>
        <v>0</v>
      </c>
      <c r="AL214" s="90">
        <f t="shared" si="80"/>
        <v>0</v>
      </c>
      <c r="AM214" s="58">
        <f t="shared" si="81"/>
        <v>0</v>
      </c>
      <c r="AN214" s="57">
        <f t="shared" si="82"/>
        <v>0</v>
      </c>
      <c r="AO214" s="432">
        <f t="shared" si="83"/>
        <v>0</v>
      </c>
      <c r="AP214" s="90">
        <f>_xlfn.IFERROR(IF(Simulador!$U$30=1,0,IF($AK214&lt;=0.01,0,$AK214*Simulador!$AA$43)),0)+_xlfn.IFERROR(IF(Simulador!$U$30=1,0,IF($AK214&lt;=0.01,0,IF(Simulador!$D$22&gt;0,Simulador!$D$22,Simulador!$O$24)*Simulador!$AA$44)),0)</f>
        <v>0</v>
      </c>
      <c r="AQ214" s="90">
        <f t="shared" si="84"/>
        <v>0</v>
      </c>
      <c r="AR214" s="26">
        <f t="shared" si="85"/>
        <v>0</v>
      </c>
      <c r="AS214">
        <f t="shared" si="86"/>
        <v>0</v>
      </c>
      <c r="AT214" s="549">
        <f t="shared" si="87"/>
      </c>
      <c r="AU214" s="404">
        <f t="shared" si="88"/>
        <v>0</v>
      </c>
      <c r="AV214" s="52">
        <v>120</v>
      </c>
      <c r="AW214" s="27"/>
      <c r="AX214" s="424"/>
      <c r="AZ214" s="52"/>
    </row>
    <row r="215" spans="1:52" ht="12.75">
      <c r="A215" s="503">
        <f t="shared" si="89"/>
        <v>201</v>
      </c>
      <c r="B215" s="89">
        <f t="shared" si="68"/>
        <v>0</v>
      </c>
      <c r="C215" s="89"/>
      <c r="D215" s="90">
        <f>IF(B215+F215-D214&lt;=0,B215+F215,IF(AND(OR(Simulador!$U$39=2,Simulador!$U$39=7),J214=0),_xlfn.IFERROR((((P215/360*AU215)/(1-(1+(P215/360*AU215))^-AS215))*B215)*(1+AA215),0),IF($AF$3=2,B215*AJ215,_xlfn.IFERROR((((P215/360*AU215)/(1-(1+(P215/360*AU215))^-AS215))*B215)*(1+AA215),0))))</f>
        <v>0</v>
      </c>
      <c r="E215" s="90"/>
      <c r="F215" s="90">
        <f t="shared" si="69"/>
        <v>0</v>
      </c>
      <c r="G215" s="90"/>
      <c r="H215" s="90">
        <f t="shared" si="70"/>
        <v>0</v>
      </c>
      <c r="I215" s="91"/>
      <c r="J215" s="92"/>
      <c r="K215" s="91"/>
      <c r="L215" s="90">
        <f>IF(Simulador!$T$41=1,0,J215*Simulador!$W$39*1.16)</f>
        <v>0</v>
      </c>
      <c r="M215" s="90"/>
      <c r="N215" s="93"/>
      <c r="O215" s="12"/>
      <c r="P215" s="544">
        <f t="shared" si="71"/>
        <v>0</v>
      </c>
      <c r="Q215" s="4"/>
      <c r="R215" s="90">
        <f t="shared" si="72"/>
        <v>0</v>
      </c>
      <c r="S215" s="90"/>
      <c r="T215" s="90">
        <f>_xlfn.IFERROR(IF(Simulador!$U$30=1,0,IF($B215&lt;=0,0,$B215*Simulador!$AA$43)),0)</f>
        <v>0</v>
      </c>
      <c r="U215" s="90"/>
      <c r="V215" s="90">
        <f>_xlfn.IFERROR(IF(Simulador!$U$30=1,0,IF($B215&lt;=0,0,IF(Simulador!$D$22&gt;0,Simulador!$D$22,Simulador!$O$24)*Simulador!$AA$44)),0)</f>
        <v>0</v>
      </c>
      <c r="W215" s="90"/>
      <c r="X215" s="90"/>
      <c r="Y215" s="90">
        <f t="shared" si="73"/>
        <v>0</v>
      </c>
      <c r="Z215" s="13"/>
      <c r="AA215" s="18"/>
      <c r="AB215" s="23"/>
      <c r="AC215" s="364"/>
      <c r="AD215" s="222">
        <v>16</v>
      </c>
      <c r="AE215" s="221">
        <v>9</v>
      </c>
      <c r="AF215" s="269">
        <f t="shared" si="74"/>
        <v>0</v>
      </c>
      <c r="AG215" s="209">
        <f t="shared" si="75"/>
        <v>0</v>
      </c>
      <c r="AH215" s="209">
        <f t="shared" si="76"/>
        <v>0</v>
      </c>
      <c r="AI215" s="219">
        <f t="shared" si="77"/>
        <v>0</v>
      </c>
      <c r="AJ215" s="425">
        <f t="shared" si="78"/>
        <v>0</v>
      </c>
      <c r="AK215" s="57">
        <f t="shared" si="79"/>
        <v>0</v>
      </c>
      <c r="AL215" s="90">
        <f t="shared" si="80"/>
        <v>0</v>
      </c>
      <c r="AM215" s="58">
        <f t="shared" si="81"/>
        <v>0</v>
      </c>
      <c r="AN215" s="57">
        <f t="shared" si="82"/>
        <v>0</v>
      </c>
      <c r="AO215" s="432">
        <f t="shared" si="83"/>
        <v>0</v>
      </c>
      <c r="AP215" s="90">
        <f>_xlfn.IFERROR(IF(Simulador!$U$30=1,0,IF($AK215&lt;=0.01,0,$AK215*Simulador!$AA$43)),0)+_xlfn.IFERROR(IF(Simulador!$U$30=1,0,IF($AK215&lt;=0.01,0,IF(Simulador!$D$22&gt;0,Simulador!$D$22,Simulador!$O$24)*Simulador!$AA$44)),0)</f>
        <v>0</v>
      </c>
      <c r="AQ215" s="90">
        <f t="shared" si="84"/>
        <v>0</v>
      </c>
      <c r="AR215" s="26">
        <f t="shared" si="85"/>
        <v>0</v>
      </c>
      <c r="AS215">
        <f t="shared" si="86"/>
        <v>0</v>
      </c>
      <c r="AT215" s="549">
        <f t="shared" si="87"/>
      </c>
      <c r="AU215" s="404">
        <f t="shared" si="88"/>
        <v>0</v>
      </c>
      <c r="AV215" s="52">
        <v>120</v>
      </c>
      <c r="AW215" s="27"/>
      <c r="AX215" s="424"/>
      <c r="AZ215" s="52"/>
    </row>
    <row r="216" spans="1:52" ht="12.75">
      <c r="A216" s="503">
        <f t="shared" si="89"/>
        <v>202</v>
      </c>
      <c r="B216" s="89">
        <f t="shared" si="68"/>
        <v>0</v>
      </c>
      <c r="C216" s="89"/>
      <c r="D216" s="90">
        <f>IF(B216+F216-D215&lt;=0,B216+F216,IF(AND(OR(Simulador!$U$39=2,Simulador!$U$39=7),J215=0),_xlfn.IFERROR((((P216/360*AU216)/(1-(1+(P216/360*AU216))^-AS216))*B216)*(1+AA216),0),IF($AF$3=2,B216*AJ216,_xlfn.IFERROR((((P216/360*AU216)/(1-(1+(P216/360*AU216))^-AS216))*B216)*(1+AA216),0))))</f>
        <v>0</v>
      </c>
      <c r="E216" s="90"/>
      <c r="F216" s="90">
        <f t="shared" si="69"/>
        <v>0</v>
      </c>
      <c r="G216" s="90"/>
      <c r="H216" s="90">
        <f t="shared" si="70"/>
        <v>0</v>
      </c>
      <c r="I216" s="91"/>
      <c r="J216" s="92"/>
      <c r="K216" s="91"/>
      <c r="L216" s="90">
        <f>IF(Simulador!$T$41=1,0,J216*Simulador!$W$39*1.16)</f>
        <v>0</v>
      </c>
      <c r="M216" s="90"/>
      <c r="N216" s="93">
        <f t="shared" si="90"/>
        <v>0</v>
      </c>
      <c r="O216" s="12"/>
      <c r="P216" s="544">
        <f t="shared" si="71"/>
        <v>0</v>
      </c>
      <c r="Q216" s="4"/>
      <c r="R216" s="90">
        <f t="shared" si="72"/>
        <v>0</v>
      </c>
      <c r="S216" s="90"/>
      <c r="T216" s="90">
        <f>_xlfn.IFERROR(IF(Simulador!$U$30=1,0,IF($B216&lt;=0,0,$B216*Simulador!$AA$43)),0)</f>
        <v>0</v>
      </c>
      <c r="U216" s="90"/>
      <c r="V216" s="90">
        <f>_xlfn.IFERROR(IF(Simulador!$U$30=1,0,IF($B216&lt;=0,0,IF(Simulador!$D$22&gt;0,Simulador!$D$22,Simulador!$O$24)*Simulador!$AA$44)),0)</f>
        <v>0</v>
      </c>
      <c r="W216" s="90"/>
      <c r="X216" s="90"/>
      <c r="Y216" s="90">
        <f t="shared" si="73"/>
        <v>0</v>
      </c>
      <c r="Z216" s="13"/>
      <c r="AA216" s="18"/>
      <c r="AB216" s="23"/>
      <c r="AC216" s="364"/>
      <c r="AD216" s="222">
        <v>16</v>
      </c>
      <c r="AE216" s="221">
        <v>10</v>
      </c>
      <c r="AF216" s="269">
        <f t="shared" si="74"/>
        <v>0</v>
      </c>
      <c r="AG216" s="209">
        <f t="shared" si="75"/>
        <v>0</v>
      </c>
      <c r="AH216" s="209">
        <f t="shared" si="76"/>
        <v>0</v>
      </c>
      <c r="AI216" s="219">
        <f t="shared" si="77"/>
        <v>0</v>
      </c>
      <c r="AJ216" s="425">
        <f t="shared" si="78"/>
        <v>0</v>
      </c>
      <c r="AK216" s="57">
        <f t="shared" si="79"/>
        <v>0</v>
      </c>
      <c r="AL216" s="90">
        <f t="shared" si="80"/>
        <v>0</v>
      </c>
      <c r="AM216" s="58">
        <f t="shared" si="81"/>
        <v>0</v>
      </c>
      <c r="AN216" s="57">
        <f t="shared" si="82"/>
        <v>0</v>
      </c>
      <c r="AO216" s="432">
        <f t="shared" si="83"/>
        <v>0</v>
      </c>
      <c r="AP216" s="90">
        <f>_xlfn.IFERROR(IF(Simulador!$U$30=1,0,IF($AK216&lt;=0.01,0,$AK216*Simulador!$AA$43)),0)+_xlfn.IFERROR(IF(Simulador!$U$30=1,0,IF($AK216&lt;=0.01,0,IF(Simulador!$D$22&gt;0,Simulador!$D$22,Simulador!$O$24)*Simulador!$AA$44)),0)</f>
        <v>0</v>
      </c>
      <c r="AQ216" s="90">
        <f t="shared" si="84"/>
        <v>0</v>
      </c>
      <c r="AR216" s="26">
        <f t="shared" si="85"/>
        <v>0</v>
      </c>
      <c r="AS216">
        <f t="shared" si="86"/>
        <v>0</v>
      </c>
      <c r="AT216" s="549">
        <f t="shared" si="87"/>
      </c>
      <c r="AU216" s="404">
        <f t="shared" si="88"/>
        <v>0</v>
      </c>
      <c r="AV216" s="52">
        <v>120</v>
      </c>
      <c r="AW216" s="27"/>
      <c r="AX216" s="424"/>
      <c r="AZ216" s="52"/>
    </row>
    <row r="217" spans="1:52" ht="12.75">
      <c r="A217" s="503">
        <f t="shared" si="89"/>
        <v>203</v>
      </c>
      <c r="B217" s="89">
        <f t="shared" si="68"/>
        <v>0</v>
      </c>
      <c r="C217" s="89"/>
      <c r="D217" s="90">
        <f>IF(B217+F217-D216&lt;=0,B217+F217,IF(AND(OR(Simulador!$U$39=2,Simulador!$U$39=7),J216=0),_xlfn.IFERROR((((P217/360*AU217)/(1-(1+(P217/360*AU217))^-AS217))*B217)*(1+AA217),0),IF($AF$3=2,B217*AJ217,_xlfn.IFERROR((((P217/360*AU217)/(1-(1+(P217/360*AU217))^-AS217))*B217)*(1+AA217),0))))</f>
        <v>0</v>
      </c>
      <c r="E217" s="90"/>
      <c r="F217" s="90">
        <f t="shared" si="69"/>
        <v>0</v>
      </c>
      <c r="G217" s="90"/>
      <c r="H217" s="90">
        <f t="shared" si="70"/>
        <v>0</v>
      </c>
      <c r="I217" s="91"/>
      <c r="J217" s="92"/>
      <c r="K217" s="91"/>
      <c r="L217" s="90">
        <f>IF(Simulador!$T$41=1,0,J217*Simulador!$W$39*1.16)</f>
        <v>0</v>
      </c>
      <c r="M217" s="90"/>
      <c r="N217" s="93"/>
      <c r="O217" s="12"/>
      <c r="P217" s="544">
        <f t="shared" si="71"/>
        <v>0</v>
      </c>
      <c r="Q217" s="4"/>
      <c r="R217" s="90">
        <f t="shared" si="72"/>
        <v>0</v>
      </c>
      <c r="S217" s="90"/>
      <c r="T217" s="90">
        <f>_xlfn.IFERROR(IF(Simulador!$U$30=1,0,IF($B217&lt;=0,0,$B217*Simulador!$AA$43)),0)</f>
        <v>0</v>
      </c>
      <c r="U217" s="90"/>
      <c r="V217" s="90">
        <f>_xlfn.IFERROR(IF(Simulador!$U$30=1,0,IF($B217&lt;=0,0,IF(Simulador!$D$22&gt;0,Simulador!$D$22,Simulador!$O$24)*Simulador!$AA$44)),0)</f>
        <v>0</v>
      </c>
      <c r="W217" s="90"/>
      <c r="X217" s="90"/>
      <c r="Y217" s="90">
        <f t="shared" si="73"/>
        <v>0</v>
      </c>
      <c r="Z217" s="13"/>
      <c r="AA217" s="18"/>
      <c r="AB217" s="23"/>
      <c r="AC217" s="364"/>
      <c r="AD217" s="222">
        <v>16</v>
      </c>
      <c r="AE217" s="219">
        <v>11</v>
      </c>
      <c r="AF217" s="269">
        <f t="shared" si="74"/>
        <v>0</v>
      </c>
      <c r="AG217" s="209">
        <f t="shared" si="75"/>
        <v>0</v>
      </c>
      <c r="AH217" s="209">
        <f t="shared" si="76"/>
        <v>0</v>
      </c>
      <c r="AI217" s="219">
        <f t="shared" si="77"/>
        <v>0</v>
      </c>
      <c r="AJ217" s="425">
        <f t="shared" si="78"/>
        <v>0</v>
      </c>
      <c r="AK217" s="57">
        <f t="shared" si="79"/>
        <v>0</v>
      </c>
      <c r="AL217" s="90">
        <f t="shared" si="80"/>
        <v>0</v>
      </c>
      <c r="AM217" s="58">
        <f t="shared" si="81"/>
        <v>0</v>
      </c>
      <c r="AN217" s="57">
        <f t="shared" si="82"/>
        <v>0</v>
      </c>
      <c r="AO217" s="432">
        <f t="shared" si="83"/>
        <v>0</v>
      </c>
      <c r="AP217" s="90">
        <f>_xlfn.IFERROR(IF(Simulador!$U$30=1,0,IF($AK217&lt;=0.01,0,$AK217*Simulador!$AA$43)),0)+_xlfn.IFERROR(IF(Simulador!$U$30=1,0,IF($AK217&lt;=0.01,0,IF(Simulador!$D$22&gt;0,Simulador!$D$22,Simulador!$O$24)*Simulador!$AA$44)),0)</f>
        <v>0</v>
      </c>
      <c r="AQ217" s="90">
        <f t="shared" si="84"/>
        <v>0</v>
      </c>
      <c r="AR217" s="26">
        <f t="shared" si="85"/>
        <v>0</v>
      </c>
      <c r="AS217">
        <f t="shared" si="86"/>
        <v>0</v>
      </c>
      <c r="AT217" s="549">
        <f t="shared" si="87"/>
      </c>
      <c r="AU217" s="404">
        <f t="shared" si="88"/>
        <v>0</v>
      </c>
      <c r="AV217" s="52">
        <v>120</v>
      </c>
      <c r="AW217" s="27"/>
      <c r="AX217" s="424"/>
      <c r="AZ217" s="52"/>
    </row>
    <row r="218" spans="1:52" ht="12.75">
      <c r="A218" s="503">
        <f t="shared" si="89"/>
        <v>204</v>
      </c>
      <c r="B218" s="89">
        <f t="shared" si="68"/>
        <v>0</v>
      </c>
      <c r="C218" s="89"/>
      <c r="D218" s="90">
        <f>IF(B218+F218-D217&lt;=0,B218+F218,IF(AND(OR(Simulador!$U$39=2,Simulador!$U$39=7),J217=0),_xlfn.IFERROR((((P218/360*AU218)/(1-(1+(P218/360*AU218))^-AS218))*B218)*(1+AA218),0),IF($AF$3=2,B218*AJ218,_xlfn.IFERROR((((P218/360*AU218)/(1-(1+(P218/360*AU218))^-AS218))*B218)*(1+AA218),0))))</f>
        <v>0</v>
      </c>
      <c r="E218" s="90"/>
      <c r="F218" s="90">
        <f t="shared" si="69"/>
        <v>0</v>
      </c>
      <c r="G218" s="90"/>
      <c r="H218" s="90">
        <f t="shared" si="70"/>
        <v>0</v>
      </c>
      <c r="I218" s="91"/>
      <c r="J218" s="92"/>
      <c r="K218" s="91"/>
      <c r="L218" s="90">
        <f>IF(Simulador!$T$41=1,0,J218*Simulador!$W$39*1.16)</f>
        <v>0</v>
      </c>
      <c r="M218" s="90"/>
      <c r="N218" s="93">
        <f t="shared" si="90"/>
        <v>0</v>
      </c>
      <c r="O218" s="12"/>
      <c r="P218" s="544">
        <f t="shared" si="71"/>
        <v>0</v>
      </c>
      <c r="Q218" s="4"/>
      <c r="R218" s="90">
        <f t="shared" si="72"/>
        <v>0</v>
      </c>
      <c r="S218" s="90"/>
      <c r="T218" s="90">
        <f>_xlfn.IFERROR(IF(Simulador!$U$30=1,0,IF($B218&lt;=0,0,$B218*Simulador!$AA$43)),0)</f>
        <v>0</v>
      </c>
      <c r="U218" s="90"/>
      <c r="V218" s="90">
        <f>_xlfn.IFERROR(IF(Simulador!$U$30=1,0,IF($B218&lt;=0,0,IF(Simulador!$D$22&gt;0,Simulador!$D$22,Simulador!$O$24)*Simulador!$AA$44)),0)</f>
        <v>0</v>
      </c>
      <c r="W218" s="90"/>
      <c r="X218" s="90"/>
      <c r="Y218" s="90">
        <f t="shared" si="73"/>
        <v>0</v>
      </c>
      <c r="Z218" s="13"/>
      <c r="AA218" s="18"/>
      <c r="AB218" s="23"/>
      <c r="AC218" s="364"/>
      <c r="AD218" s="222">
        <v>17</v>
      </c>
      <c r="AE218" s="219">
        <v>0</v>
      </c>
      <c r="AF218" s="269">
        <f t="shared" si="74"/>
        <v>0</v>
      </c>
      <c r="AG218" s="209">
        <f t="shared" si="75"/>
        <v>0</v>
      </c>
      <c r="AH218" s="209">
        <f t="shared" si="76"/>
        <v>0</v>
      </c>
      <c r="AI218" s="219">
        <f t="shared" si="77"/>
        <v>0</v>
      </c>
      <c r="AJ218" s="425">
        <f t="shared" si="78"/>
        <v>0</v>
      </c>
      <c r="AK218" s="57">
        <f t="shared" si="79"/>
        <v>0</v>
      </c>
      <c r="AL218" s="90">
        <f t="shared" si="80"/>
        <v>0</v>
      </c>
      <c r="AM218" s="58">
        <f t="shared" si="81"/>
        <v>0</v>
      </c>
      <c r="AN218" s="57">
        <f t="shared" si="82"/>
        <v>0</v>
      </c>
      <c r="AO218" s="432">
        <f t="shared" si="83"/>
        <v>0</v>
      </c>
      <c r="AP218" s="90">
        <f>_xlfn.IFERROR(IF(Simulador!$U$30=1,0,IF($AK218&lt;=0.01,0,$AK218*Simulador!$AA$43)),0)+_xlfn.IFERROR(IF(Simulador!$U$30=1,0,IF($AK218&lt;=0.01,0,IF(Simulador!$D$22&gt;0,Simulador!$D$22,Simulador!$O$24)*Simulador!$AA$44)),0)</f>
        <v>0</v>
      </c>
      <c r="AQ218" s="90">
        <f t="shared" si="84"/>
        <v>0</v>
      </c>
      <c r="AR218" s="26">
        <f t="shared" si="85"/>
        <v>0</v>
      </c>
      <c r="AS218">
        <f t="shared" si="86"/>
        <v>0</v>
      </c>
      <c r="AT218" s="549">
        <f t="shared" si="87"/>
      </c>
      <c r="AU218" s="404">
        <f t="shared" si="88"/>
        <v>0</v>
      </c>
      <c r="AV218" s="52">
        <v>120</v>
      </c>
      <c r="AW218" s="27"/>
      <c r="AX218" s="424"/>
      <c r="AZ218" s="52"/>
    </row>
    <row r="219" spans="1:52" ht="12.75">
      <c r="A219" s="503">
        <f t="shared" si="89"/>
        <v>205</v>
      </c>
      <c r="B219" s="89">
        <f t="shared" si="68"/>
        <v>0</v>
      </c>
      <c r="C219" s="89"/>
      <c r="D219" s="90">
        <f>IF(B219+F219-D218&lt;=0,B219+F219,IF(AND(OR(Simulador!$U$39=2,Simulador!$U$39=7),J218=0),_xlfn.IFERROR((((P219/360*AU219)/(1-(1+(P219/360*AU219))^-AS219))*B219)*(1+AA219),0),IF($AF$3=2,B219*AJ219,_xlfn.IFERROR((((P219/360*AU219)/(1-(1+(P219/360*AU219))^-AS219))*B219)*(1+AA219),0))))</f>
        <v>0</v>
      </c>
      <c r="E219" s="90"/>
      <c r="F219" s="90">
        <f t="shared" si="69"/>
        <v>0</v>
      </c>
      <c r="G219" s="90"/>
      <c r="H219" s="90">
        <f t="shared" si="70"/>
        <v>0</v>
      </c>
      <c r="I219" s="91"/>
      <c r="J219" s="92"/>
      <c r="K219" s="91"/>
      <c r="L219" s="90">
        <f>IF(Simulador!$T$41=1,0,J219*Simulador!$W$39*1.16)</f>
        <v>0</v>
      </c>
      <c r="M219" s="90"/>
      <c r="N219" s="93"/>
      <c r="O219" s="12"/>
      <c r="P219" s="544">
        <f t="shared" si="71"/>
        <v>0</v>
      </c>
      <c r="Q219" s="4"/>
      <c r="R219" s="90">
        <f t="shared" si="72"/>
        <v>0</v>
      </c>
      <c r="S219" s="90"/>
      <c r="T219" s="90">
        <f>_xlfn.IFERROR(IF(Simulador!$U$30=1,0,IF($B219&lt;=0,0,$B219*Simulador!$AA$43)),0)</f>
        <v>0</v>
      </c>
      <c r="U219" s="90"/>
      <c r="V219" s="90">
        <f>_xlfn.IFERROR(IF(Simulador!$U$30=1,0,IF($B219&lt;=0,0,IF(Simulador!$D$22&gt;0,Simulador!$D$22,Simulador!$O$24)*Simulador!$AA$44)),0)</f>
        <v>0</v>
      </c>
      <c r="W219" s="90"/>
      <c r="X219" s="90"/>
      <c r="Y219" s="90">
        <f t="shared" si="73"/>
        <v>0</v>
      </c>
      <c r="Z219" s="13"/>
      <c r="AA219" s="18"/>
      <c r="AB219" s="23"/>
      <c r="AC219" s="364"/>
      <c r="AD219" s="222">
        <v>17</v>
      </c>
      <c r="AE219" s="219">
        <v>1</v>
      </c>
      <c r="AF219" s="269">
        <f t="shared" si="74"/>
        <v>0</v>
      </c>
      <c r="AG219" s="209">
        <f t="shared" si="75"/>
        <v>0</v>
      </c>
      <c r="AH219" s="209">
        <f t="shared" si="76"/>
        <v>0</v>
      </c>
      <c r="AI219" s="219">
        <f t="shared" si="77"/>
        <v>0</v>
      </c>
      <c r="AJ219" s="425">
        <f t="shared" si="78"/>
        <v>0</v>
      </c>
      <c r="AK219" s="57">
        <f t="shared" si="79"/>
        <v>0</v>
      </c>
      <c r="AL219" s="90">
        <f t="shared" si="80"/>
        <v>0</v>
      </c>
      <c r="AM219" s="58">
        <f t="shared" si="81"/>
        <v>0</v>
      </c>
      <c r="AN219" s="57">
        <f t="shared" si="82"/>
        <v>0</v>
      </c>
      <c r="AO219" s="432">
        <f t="shared" si="83"/>
        <v>0</v>
      </c>
      <c r="AP219" s="90">
        <f>_xlfn.IFERROR(IF(Simulador!$U$30=1,0,IF($AK219&lt;=0.01,0,$AK219*Simulador!$AA$43)),0)+_xlfn.IFERROR(IF(Simulador!$U$30=1,0,IF($AK219&lt;=0.01,0,IF(Simulador!$D$22&gt;0,Simulador!$D$22,Simulador!$O$24)*Simulador!$AA$44)),0)</f>
        <v>0</v>
      </c>
      <c r="AQ219" s="90">
        <f t="shared" si="84"/>
        <v>0</v>
      </c>
      <c r="AR219" s="26">
        <f t="shared" si="85"/>
        <v>0</v>
      </c>
      <c r="AS219">
        <f t="shared" si="86"/>
        <v>0</v>
      </c>
      <c r="AT219" s="549">
        <f t="shared" si="87"/>
      </c>
      <c r="AU219" s="404">
        <f t="shared" si="88"/>
        <v>0</v>
      </c>
      <c r="AV219" s="52">
        <v>120</v>
      </c>
      <c r="AW219" s="27"/>
      <c r="AX219" s="424"/>
      <c r="AZ219" s="52"/>
    </row>
    <row r="220" spans="1:52" ht="12.75">
      <c r="A220" s="503">
        <f t="shared" si="89"/>
        <v>206</v>
      </c>
      <c r="B220" s="89">
        <f t="shared" si="68"/>
        <v>0</v>
      </c>
      <c r="C220" s="89"/>
      <c r="D220" s="90">
        <f>IF(B220+F220-D219&lt;=0,B220+F220,IF(AND(OR(Simulador!$U$39=2,Simulador!$U$39=7),J219=0),_xlfn.IFERROR((((P220/360*AU220)/(1-(1+(P220/360*AU220))^-AS220))*B220)*(1+AA220),0),IF($AF$3=2,B220*AJ220,_xlfn.IFERROR((((P220/360*AU220)/(1-(1+(P220/360*AU220))^-AS220))*B220)*(1+AA220),0))))</f>
        <v>0</v>
      </c>
      <c r="E220" s="90"/>
      <c r="F220" s="90">
        <f t="shared" si="69"/>
        <v>0</v>
      </c>
      <c r="G220" s="90"/>
      <c r="H220" s="90">
        <f t="shared" si="70"/>
        <v>0</v>
      </c>
      <c r="I220" s="91"/>
      <c r="J220" s="92"/>
      <c r="K220" s="91"/>
      <c r="L220" s="90">
        <f>IF(Simulador!$T$41=1,0,J220*Simulador!$W$39*1.16)</f>
        <v>0</v>
      </c>
      <c r="M220" s="90"/>
      <c r="N220" s="93">
        <f t="shared" si="90"/>
        <v>0</v>
      </c>
      <c r="O220" s="12"/>
      <c r="P220" s="544">
        <f t="shared" si="71"/>
        <v>0</v>
      </c>
      <c r="Q220" s="4"/>
      <c r="R220" s="90">
        <f t="shared" si="72"/>
        <v>0</v>
      </c>
      <c r="S220" s="90"/>
      <c r="T220" s="90">
        <f>_xlfn.IFERROR(IF(Simulador!$U$30=1,0,IF($B220&lt;=0,0,$B220*Simulador!$AA$43)),0)</f>
        <v>0</v>
      </c>
      <c r="U220" s="90"/>
      <c r="V220" s="90">
        <f>_xlfn.IFERROR(IF(Simulador!$U$30=1,0,IF($B220&lt;=0,0,IF(Simulador!$D$22&gt;0,Simulador!$D$22,Simulador!$O$24)*Simulador!$AA$44)),0)</f>
        <v>0</v>
      </c>
      <c r="W220" s="90"/>
      <c r="X220" s="90"/>
      <c r="Y220" s="90">
        <f t="shared" si="73"/>
        <v>0</v>
      </c>
      <c r="Z220" s="13"/>
      <c r="AA220" s="18"/>
      <c r="AB220" s="23"/>
      <c r="AC220" s="364"/>
      <c r="AD220" s="222">
        <v>17</v>
      </c>
      <c r="AE220" s="220">
        <v>2</v>
      </c>
      <c r="AF220" s="269">
        <f t="shared" si="74"/>
        <v>0</v>
      </c>
      <c r="AG220" s="209">
        <f t="shared" si="75"/>
        <v>0</v>
      </c>
      <c r="AH220" s="209">
        <f t="shared" si="76"/>
        <v>0</v>
      </c>
      <c r="AI220" s="219">
        <f t="shared" si="77"/>
        <v>0</v>
      </c>
      <c r="AJ220" s="425">
        <f t="shared" si="78"/>
        <v>0</v>
      </c>
      <c r="AK220" s="57">
        <f t="shared" si="79"/>
        <v>0</v>
      </c>
      <c r="AL220" s="90">
        <f t="shared" si="80"/>
        <v>0</v>
      </c>
      <c r="AM220" s="58">
        <f t="shared" si="81"/>
        <v>0</v>
      </c>
      <c r="AN220" s="57">
        <f t="shared" si="82"/>
        <v>0</v>
      </c>
      <c r="AO220" s="432">
        <f t="shared" si="83"/>
        <v>0</v>
      </c>
      <c r="AP220" s="90">
        <f>_xlfn.IFERROR(IF(Simulador!$U$30=1,0,IF($AK220&lt;=0.01,0,$AK220*Simulador!$AA$43)),0)+_xlfn.IFERROR(IF(Simulador!$U$30=1,0,IF($AK220&lt;=0.01,0,IF(Simulador!$D$22&gt;0,Simulador!$D$22,Simulador!$O$24)*Simulador!$AA$44)),0)</f>
        <v>0</v>
      </c>
      <c r="AQ220" s="90">
        <f t="shared" si="84"/>
        <v>0</v>
      </c>
      <c r="AR220" s="26">
        <f t="shared" si="85"/>
        <v>0</v>
      </c>
      <c r="AS220">
        <f t="shared" si="86"/>
        <v>0</v>
      </c>
      <c r="AT220" s="549">
        <f t="shared" si="87"/>
      </c>
      <c r="AU220" s="404">
        <f t="shared" si="88"/>
        <v>0</v>
      </c>
      <c r="AV220" s="52">
        <v>120</v>
      </c>
      <c r="AW220" s="27"/>
      <c r="AX220" s="424"/>
      <c r="AZ220" s="52"/>
    </row>
    <row r="221" spans="1:52" ht="12.75">
      <c r="A221" s="503">
        <f t="shared" si="89"/>
        <v>207</v>
      </c>
      <c r="B221" s="89">
        <f t="shared" si="68"/>
        <v>0</v>
      </c>
      <c r="C221" s="89"/>
      <c r="D221" s="90">
        <f>IF(B221+F221-D220&lt;=0,B221+F221,IF(AND(OR(Simulador!$U$39=2,Simulador!$U$39=7),J220=0),_xlfn.IFERROR((((P221/360*AU221)/(1-(1+(P221/360*AU221))^-AS221))*B221)*(1+AA221),0),IF($AF$3=2,B221*AJ221,_xlfn.IFERROR((((P221/360*AU221)/(1-(1+(P221/360*AU221))^-AS221))*B221)*(1+AA221),0))))</f>
        <v>0</v>
      </c>
      <c r="E221" s="90"/>
      <c r="F221" s="90">
        <f t="shared" si="69"/>
        <v>0</v>
      </c>
      <c r="G221" s="90"/>
      <c r="H221" s="90">
        <f t="shared" si="70"/>
        <v>0</v>
      </c>
      <c r="I221" s="91"/>
      <c r="J221" s="92"/>
      <c r="K221" s="91"/>
      <c r="L221" s="90">
        <f>IF(Simulador!$T$41=1,0,J221*Simulador!$W$39*1.16)</f>
        <v>0</v>
      </c>
      <c r="M221" s="90"/>
      <c r="N221" s="93"/>
      <c r="O221" s="12"/>
      <c r="P221" s="544">
        <f t="shared" si="71"/>
        <v>0</v>
      </c>
      <c r="Q221" s="4"/>
      <c r="R221" s="90">
        <f t="shared" si="72"/>
        <v>0</v>
      </c>
      <c r="S221" s="90"/>
      <c r="T221" s="90">
        <f>_xlfn.IFERROR(IF(Simulador!$U$30=1,0,IF($B221&lt;=0,0,$B221*Simulador!$AA$43)),0)</f>
        <v>0</v>
      </c>
      <c r="U221" s="90"/>
      <c r="V221" s="90">
        <f>_xlfn.IFERROR(IF(Simulador!$U$30=1,0,IF($B221&lt;=0,0,IF(Simulador!$D$22&gt;0,Simulador!$D$22,Simulador!$O$24)*Simulador!$AA$44)),0)</f>
        <v>0</v>
      </c>
      <c r="W221" s="90"/>
      <c r="X221" s="90"/>
      <c r="Y221" s="90">
        <f t="shared" si="73"/>
        <v>0</v>
      </c>
      <c r="Z221" s="13"/>
      <c r="AA221" s="18"/>
      <c r="AB221" s="23"/>
      <c r="AC221" s="364"/>
      <c r="AD221" s="222">
        <v>17</v>
      </c>
      <c r="AE221" s="220">
        <v>3</v>
      </c>
      <c r="AF221" s="269">
        <f t="shared" si="74"/>
        <v>0</v>
      </c>
      <c r="AG221" s="209">
        <f t="shared" si="75"/>
        <v>0</v>
      </c>
      <c r="AH221" s="209">
        <f t="shared" si="76"/>
        <v>0</v>
      </c>
      <c r="AI221" s="219">
        <f t="shared" si="77"/>
        <v>0</v>
      </c>
      <c r="AJ221" s="425">
        <f t="shared" si="78"/>
        <v>0</v>
      </c>
      <c r="AK221" s="57">
        <f t="shared" si="79"/>
        <v>0</v>
      </c>
      <c r="AL221" s="90">
        <f t="shared" si="80"/>
        <v>0</v>
      </c>
      <c r="AM221" s="58">
        <f t="shared" si="81"/>
        <v>0</v>
      </c>
      <c r="AN221" s="57">
        <f t="shared" si="82"/>
        <v>0</v>
      </c>
      <c r="AO221" s="432">
        <f t="shared" si="83"/>
        <v>0</v>
      </c>
      <c r="AP221" s="90">
        <f>_xlfn.IFERROR(IF(Simulador!$U$30=1,0,IF($AK221&lt;=0.01,0,$AK221*Simulador!$AA$43)),0)+_xlfn.IFERROR(IF(Simulador!$U$30=1,0,IF($AK221&lt;=0.01,0,IF(Simulador!$D$22&gt;0,Simulador!$D$22,Simulador!$O$24)*Simulador!$AA$44)),0)</f>
        <v>0</v>
      </c>
      <c r="AQ221" s="90">
        <f t="shared" si="84"/>
        <v>0</v>
      </c>
      <c r="AR221" s="26">
        <f t="shared" si="85"/>
        <v>0</v>
      </c>
      <c r="AS221">
        <f t="shared" si="86"/>
        <v>0</v>
      </c>
      <c r="AT221" s="549">
        <f t="shared" si="87"/>
      </c>
      <c r="AU221" s="404">
        <f t="shared" si="88"/>
        <v>0</v>
      </c>
      <c r="AV221" s="52">
        <v>120</v>
      </c>
      <c r="AW221" s="27"/>
      <c r="AX221" s="424"/>
      <c r="AZ221" s="52"/>
    </row>
    <row r="222" spans="1:52" ht="12.75">
      <c r="A222" s="503">
        <f t="shared" si="89"/>
        <v>208</v>
      </c>
      <c r="B222" s="89">
        <f t="shared" si="68"/>
        <v>0</v>
      </c>
      <c r="C222" s="89"/>
      <c r="D222" s="90">
        <f>IF(B222+F222-D221&lt;=0,B222+F222,IF(AND(OR(Simulador!$U$39=2,Simulador!$U$39=7),J221=0),_xlfn.IFERROR((((P222/360*AU222)/(1-(1+(P222/360*AU222))^-AS222))*B222)*(1+AA222),0),IF($AF$3=2,B222*AJ222,_xlfn.IFERROR((((P222/360*AU222)/(1-(1+(P222/360*AU222))^-AS222))*B222)*(1+AA222),0))))</f>
        <v>0</v>
      </c>
      <c r="E222" s="90"/>
      <c r="F222" s="90">
        <f t="shared" si="69"/>
        <v>0</v>
      </c>
      <c r="G222" s="90"/>
      <c r="H222" s="90">
        <f t="shared" si="70"/>
        <v>0</v>
      </c>
      <c r="I222" s="91"/>
      <c r="J222" s="92"/>
      <c r="K222" s="91"/>
      <c r="L222" s="90">
        <f>IF(Simulador!$T$41=1,0,J222*Simulador!$W$39*1.16)</f>
        <v>0</v>
      </c>
      <c r="M222" s="90"/>
      <c r="N222" s="93">
        <f t="shared" si="90"/>
        <v>0</v>
      </c>
      <c r="O222" s="12"/>
      <c r="P222" s="544">
        <f t="shared" si="71"/>
        <v>0</v>
      </c>
      <c r="Q222" s="4"/>
      <c r="R222" s="90">
        <f t="shared" si="72"/>
        <v>0</v>
      </c>
      <c r="S222" s="90"/>
      <c r="T222" s="90">
        <f>_xlfn.IFERROR(IF(Simulador!$U$30=1,0,IF($B222&lt;=0,0,$B222*Simulador!$AA$43)),0)</f>
        <v>0</v>
      </c>
      <c r="U222" s="90"/>
      <c r="V222" s="90">
        <f>_xlfn.IFERROR(IF(Simulador!$U$30=1,0,IF($B222&lt;=0,0,IF(Simulador!$D$22&gt;0,Simulador!$D$22,Simulador!$O$24)*Simulador!$AA$44)),0)</f>
        <v>0</v>
      </c>
      <c r="W222" s="90"/>
      <c r="X222" s="90"/>
      <c r="Y222" s="90">
        <f t="shared" si="73"/>
        <v>0</v>
      </c>
      <c r="Z222" s="13"/>
      <c r="AA222" s="18"/>
      <c r="AB222" s="23"/>
      <c r="AC222" s="364"/>
      <c r="AD222" s="222">
        <v>17</v>
      </c>
      <c r="AE222" s="219">
        <v>4</v>
      </c>
      <c r="AF222" s="269">
        <f t="shared" si="74"/>
        <v>0</v>
      </c>
      <c r="AG222" s="209">
        <f t="shared" si="75"/>
        <v>0</v>
      </c>
      <c r="AH222" s="209">
        <f t="shared" si="76"/>
        <v>0</v>
      </c>
      <c r="AI222" s="219">
        <f t="shared" si="77"/>
        <v>0</v>
      </c>
      <c r="AJ222" s="425">
        <f t="shared" si="78"/>
        <v>0</v>
      </c>
      <c r="AK222" s="57">
        <f t="shared" si="79"/>
        <v>0</v>
      </c>
      <c r="AL222" s="90">
        <f t="shared" si="80"/>
        <v>0</v>
      </c>
      <c r="AM222" s="58">
        <f t="shared" si="81"/>
        <v>0</v>
      </c>
      <c r="AN222" s="57">
        <f t="shared" si="82"/>
        <v>0</v>
      </c>
      <c r="AO222" s="432">
        <f t="shared" si="83"/>
        <v>0</v>
      </c>
      <c r="AP222" s="90">
        <f>_xlfn.IFERROR(IF(Simulador!$U$30=1,0,IF($AK222&lt;=0.01,0,$AK222*Simulador!$AA$43)),0)+_xlfn.IFERROR(IF(Simulador!$U$30=1,0,IF($AK222&lt;=0.01,0,IF(Simulador!$D$22&gt;0,Simulador!$D$22,Simulador!$O$24)*Simulador!$AA$44)),0)</f>
        <v>0</v>
      </c>
      <c r="AQ222" s="90">
        <f t="shared" si="84"/>
        <v>0</v>
      </c>
      <c r="AR222" s="26">
        <f t="shared" si="85"/>
        <v>0</v>
      </c>
      <c r="AS222">
        <f t="shared" si="86"/>
        <v>0</v>
      </c>
      <c r="AT222" s="549">
        <f t="shared" si="87"/>
      </c>
      <c r="AU222" s="404">
        <f t="shared" si="88"/>
        <v>0</v>
      </c>
      <c r="AV222" s="52">
        <v>120</v>
      </c>
      <c r="AW222" s="27"/>
      <c r="AX222" s="424"/>
      <c r="AZ222" s="52"/>
    </row>
    <row r="223" spans="1:52" ht="12.75">
      <c r="A223" s="503">
        <f t="shared" si="89"/>
        <v>209</v>
      </c>
      <c r="B223" s="89">
        <f t="shared" si="68"/>
        <v>0</v>
      </c>
      <c r="C223" s="89"/>
      <c r="D223" s="90">
        <f>IF(B223+F223-D222&lt;=0,B223+F223,IF(AND(OR(Simulador!$U$39=2,Simulador!$U$39=7),J222=0),_xlfn.IFERROR((((P223/360*AU223)/(1-(1+(P223/360*AU223))^-AS223))*B223)*(1+AA223),0),IF($AF$3=2,B223*AJ223,_xlfn.IFERROR((((P223/360*AU223)/(1-(1+(P223/360*AU223))^-AS223))*B223)*(1+AA223),0))))</f>
        <v>0</v>
      </c>
      <c r="E223" s="90"/>
      <c r="F223" s="90">
        <f t="shared" si="69"/>
        <v>0</v>
      </c>
      <c r="G223" s="90"/>
      <c r="H223" s="90">
        <f t="shared" si="70"/>
        <v>0</v>
      </c>
      <c r="I223" s="91"/>
      <c r="J223" s="92"/>
      <c r="K223" s="91"/>
      <c r="L223" s="90">
        <f>IF(Simulador!$T$41=1,0,J223*Simulador!$W$39*1.16)</f>
        <v>0</v>
      </c>
      <c r="M223" s="90"/>
      <c r="N223" s="93"/>
      <c r="O223" s="12"/>
      <c r="P223" s="544">
        <f t="shared" si="71"/>
        <v>0</v>
      </c>
      <c r="Q223" s="4"/>
      <c r="R223" s="90">
        <f t="shared" si="72"/>
        <v>0</v>
      </c>
      <c r="S223" s="90"/>
      <c r="T223" s="90">
        <f>_xlfn.IFERROR(IF(Simulador!$U$30=1,0,IF($B223&lt;=0,0,$B223*Simulador!$AA$43)),0)</f>
        <v>0</v>
      </c>
      <c r="U223" s="90"/>
      <c r="V223" s="90">
        <f>_xlfn.IFERROR(IF(Simulador!$U$30=1,0,IF($B223&lt;=0,0,IF(Simulador!$D$22&gt;0,Simulador!$D$22,Simulador!$O$24)*Simulador!$AA$44)),0)</f>
        <v>0</v>
      </c>
      <c r="W223" s="90"/>
      <c r="X223" s="90"/>
      <c r="Y223" s="90">
        <f t="shared" si="73"/>
        <v>0</v>
      </c>
      <c r="Z223" s="13"/>
      <c r="AA223" s="18"/>
      <c r="AB223" s="23"/>
      <c r="AC223" s="364"/>
      <c r="AD223" s="222">
        <v>17</v>
      </c>
      <c r="AE223" s="219">
        <v>5</v>
      </c>
      <c r="AF223" s="269">
        <f t="shared" si="74"/>
        <v>0</v>
      </c>
      <c r="AG223" s="209">
        <f t="shared" si="75"/>
        <v>0</v>
      </c>
      <c r="AH223" s="209">
        <f t="shared" si="76"/>
        <v>0</v>
      </c>
      <c r="AI223" s="219">
        <f t="shared" si="77"/>
        <v>0</v>
      </c>
      <c r="AJ223" s="425">
        <f t="shared" si="78"/>
        <v>0</v>
      </c>
      <c r="AK223" s="57">
        <f t="shared" si="79"/>
        <v>0</v>
      </c>
      <c r="AL223" s="90">
        <f t="shared" si="80"/>
        <v>0</v>
      </c>
      <c r="AM223" s="58">
        <f t="shared" si="81"/>
        <v>0</v>
      </c>
      <c r="AN223" s="57">
        <f t="shared" si="82"/>
        <v>0</v>
      </c>
      <c r="AO223" s="432">
        <f t="shared" si="83"/>
        <v>0</v>
      </c>
      <c r="AP223" s="90">
        <f>_xlfn.IFERROR(IF(Simulador!$U$30=1,0,IF($AK223&lt;=0.01,0,$AK223*Simulador!$AA$43)),0)+_xlfn.IFERROR(IF(Simulador!$U$30=1,0,IF($AK223&lt;=0.01,0,IF(Simulador!$D$22&gt;0,Simulador!$D$22,Simulador!$O$24)*Simulador!$AA$44)),0)</f>
        <v>0</v>
      </c>
      <c r="AQ223" s="90">
        <f t="shared" si="84"/>
        <v>0</v>
      </c>
      <c r="AR223" s="26">
        <f t="shared" si="85"/>
        <v>0</v>
      </c>
      <c r="AS223">
        <f t="shared" si="86"/>
        <v>0</v>
      </c>
      <c r="AT223" s="549">
        <f t="shared" si="87"/>
      </c>
      <c r="AU223" s="404">
        <f t="shared" si="88"/>
        <v>0</v>
      </c>
      <c r="AV223" s="52">
        <v>120</v>
      </c>
      <c r="AW223" s="27"/>
      <c r="AX223" s="424"/>
      <c r="AZ223" s="52"/>
    </row>
    <row r="224" spans="1:52" ht="12.75">
      <c r="A224" s="503">
        <f t="shared" si="89"/>
        <v>210</v>
      </c>
      <c r="B224" s="89">
        <f t="shared" si="68"/>
        <v>0</v>
      </c>
      <c r="C224" s="89"/>
      <c r="D224" s="90">
        <f>IF(B224+F224-D223&lt;=0,B224+F224,IF(AND(OR(Simulador!$U$39=2,Simulador!$U$39=7),J223=0),_xlfn.IFERROR((((P224/360*AU224)/(1-(1+(P224/360*AU224))^-AS224))*B224)*(1+AA224),0),IF($AF$3=2,B224*AJ224,_xlfn.IFERROR((((P224/360*AU224)/(1-(1+(P224/360*AU224))^-AS224))*B224)*(1+AA224),0))))</f>
        <v>0</v>
      </c>
      <c r="E224" s="90"/>
      <c r="F224" s="90">
        <f t="shared" si="69"/>
        <v>0</v>
      </c>
      <c r="G224" s="90"/>
      <c r="H224" s="90">
        <f t="shared" si="70"/>
        <v>0</v>
      </c>
      <c r="I224" s="91"/>
      <c r="J224" s="92"/>
      <c r="K224" s="91"/>
      <c r="L224" s="90">
        <f>IF(Simulador!$T$41=1,0,J224*Simulador!$W$39*1.16)</f>
        <v>0</v>
      </c>
      <c r="M224" s="90"/>
      <c r="N224" s="93">
        <f t="shared" si="90"/>
        <v>0</v>
      </c>
      <c r="O224" s="12"/>
      <c r="P224" s="544">
        <f t="shared" si="71"/>
        <v>0</v>
      </c>
      <c r="Q224" s="4"/>
      <c r="R224" s="90">
        <f t="shared" si="72"/>
        <v>0</v>
      </c>
      <c r="S224" s="90"/>
      <c r="T224" s="90">
        <f>_xlfn.IFERROR(IF(Simulador!$U$30=1,0,IF($B224&lt;=0,0,$B224*Simulador!$AA$43)),0)</f>
        <v>0</v>
      </c>
      <c r="U224" s="90"/>
      <c r="V224" s="90">
        <f>_xlfn.IFERROR(IF(Simulador!$U$30=1,0,IF($B224&lt;=0,0,IF(Simulador!$D$22&gt;0,Simulador!$D$22,Simulador!$O$24)*Simulador!$AA$44)),0)</f>
        <v>0</v>
      </c>
      <c r="W224" s="90"/>
      <c r="X224" s="90"/>
      <c r="Y224" s="90">
        <f t="shared" si="73"/>
        <v>0</v>
      </c>
      <c r="Z224" s="13"/>
      <c r="AA224" s="18"/>
      <c r="AB224" s="23"/>
      <c r="AC224" s="364"/>
      <c r="AD224" s="222">
        <v>17</v>
      </c>
      <c r="AE224" s="219">
        <v>6</v>
      </c>
      <c r="AF224" s="269">
        <f t="shared" si="74"/>
        <v>0</v>
      </c>
      <c r="AG224" s="209">
        <f t="shared" si="75"/>
        <v>0</v>
      </c>
      <c r="AH224" s="209">
        <f t="shared" si="76"/>
        <v>0</v>
      </c>
      <c r="AI224" s="219">
        <f t="shared" si="77"/>
        <v>0</v>
      </c>
      <c r="AJ224" s="425">
        <f t="shared" si="78"/>
        <v>0</v>
      </c>
      <c r="AK224" s="57">
        <f t="shared" si="79"/>
        <v>0</v>
      </c>
      <c r="AL224" s="90">
        <f t="shared" si="80"/>
        <v>0</v>
      </c>
      <c r="AM224" s="58">
        <f t="shared" si="81"/>
        <v>0</v>
      </c>
      <c r="AN224" s="57">
        <f t="shared" si="82"/>
        <v>0</v>
      </c>
      <c r="AO224" s="432">
        <f t="shared" si="83"/>
        <v>0</v>
      </c>
      <c r="AP224" s="90">
        <f>_xlfn.IFERROR(IF(Simulador!$U$30=1,0,IF($AK224&lt;=0.01,0,$AK224*Simulador!$AA$43)),0)+_xlfn.IFERROR(IF(Simulador!$U$30=1,0,IF($AK224&lt;=0.01,0,IF(Simulador!$D$22&gt;0,Simulador!$D$22,Simulador!$O$24)*Simulador!$AA$44)),0)</f>
        <v>0</v>
      </c>
      <c r="AQ224" s="90">
        <f t="shared" si="84"/>
        <v>0</v>
      </c>
      <c r="AR224" s="26">
        <f t="shared" si="85"/>
        <v>0</v>
      </c>
      <c r="AS224">
        <f t="shared" si="86"/>
        <v>0</v>
      </c>
      <c r="AT224" s="549">
        <f t="shared" si="87"/>
      </c>
      <c r="AU224" s="404">
        <f t="shared" si="88"/>
        <v>0</v>
      </c>
      <c r="AV224" s="52">
        <v>120</v>
      </c>
      <c r="AW224" s="27"/>
      <c r="AX224" s="424"/>
      <c r="AZ224" s="52"/>
    </row>
    <row r="225" spans="1:52" ht="12.75">
      <c r="A225" s="503">
        <f t="shared" si="89"/>
        <v>211</v>
      </c>
      <c r="B225" s="89">
        <f t="shared" si="68"/>
        <v>0</v>
      </c>
      <c r="C225" s="89"/>
      <c r="D225" s="90">
        <f>IF(B225+F225-D224&lt;=0,B225+F225,IF(AND(OR(Simulador!$U$39=2,Simulador!$U$39=7),J224=0),_xlfn.IFERROR((((P225/360*AU225)/(1-(1+(P225/360*AU225))^-AS225))*B225)*(1+AA225),0),IF($AF$3=2,B225*AJ225,_xlfn.IFERROR((((P225/360*AU225)/(1-(1+(P225/360*AU225))^-AS225))*B225)*(1+AA225),0))))</f>
        <v>0</v>
      </c>
      <c r="E225" s="90"/>
      <c r="F225" s="90">
        <f t="shared" si="69"/>
        <v>0</v>
      </c>
      <c r="G225" s="90"/>
      <c r="H225" s="90">
        <f t="shared" si="70"/>
        <v>0</v>
      </c>
      <c r="I225" s="91"/>
      <c r="J225" s="92"/>
      <c r="K225" s="91"/>
      <c r="L225" s="90">
        <f>IF(Simulador!$T$41=1,0,J225*Simulador!$W$39*1.16)</f>
        <v>0</v>
      </c>
      <c r="M225" s="90"/>
      <c r="N225" s="93"/>
      <c r="O225" s="12"/>
      <c r="P225" s="544">
        <f t="shared" si="71"/>
        <v>0</v>
      </c>
      <c r="Q225" s="4"/>
      <c r="R225" s="90">
        <f t="shared" si="72"/>
        <v>0</v>
      </c>
      <c r="S225" s="90"/>
      <c r="T225" s="90">
        <f>_xlfn.IFERROR(IF(Simulador!$U$30=1,0,IF($B225&lt;=0,0,$B225*Simulador!$AA$43)),0)</f>
        <v>0</v>
      </c>
      <c r="U225" s="90"/>
      <c r="V225" s="90">
        <f>_xlfn.IFERROR(IF(Simulador!$U$30=1,0,IF($B225&lt;=0,0,IF(Simulador!$D$22&gt;0,Simulador!$D$22,Simulador!$O$24)*Simulador!$AA$44)),0)</f>
        <v>0</v>
      </c>
      <c r="W225" s="90"/>
      <c r="X225" s="90"/>
      <c r="Y225" s="90">
        <f t="shared" si="73"/>
        <v>0</v>
      </c>
      <c r="Z225" s="13"/>
      <c r="AA225" s="18"/>
      <c r="AB225" s="23"/>
      <c r="AC225" s="364"/>
      <c r="AD225" s="222">
        <v>17</v>
      </c>
      <c r="AE225" s="219">
        <v>7</v>
      </c>
      <c r="AF225" s="269">
        <f t="shared" si="74"/>
        <v>0</v>
      </c>
      <c r="AG225" s="209">
        <f t="shared" si="75"/>
        <v>0</v>
      </c>
      <c r="AH225" s="209">
        <f t="shared" si="76"/>
        <v>0</v>
      </c>
      <c r="AI225" s="219">
        <f t="shared" si="77"/>
        <v>0</v>
      </c>
      <c r="AJ225" s="425">
        <f t="shared" si="78"/>
        <v>0</v>
      </c>
      <c r="AK225" s="57">
        <f t="shared" si="79"/>
        <v>0</v>
      </c>
      <c r="AL225" s="90">
        <f t="shared" si="80"/>
        <v>0</v>
      </c>
      <c r="AM225" s="58">
        <f t="shared" si="81"/>
        <v>0</v>
      </c>
      <c r="AN225" s="57">
        <f t="shared" si="82"/>
        <v>0</v>
      </c>
      <c r="AO225" s="432">
        <f t="shared" si="83"/>
        <v>0</v>
      </c>
      <c r="AP225" s="90">
        <f>_xlfn.IFERROR(IF(Simulador!$U$30=1,0,IF($AK225&lt;=0.01,0,$AK225*Simulador!$AA$43)),0)+_xlfn.IFERROR(IF(Simulador!$U$30=1,0,IF($AK225&lt;=0.01,0,IF(Simulador!$D$22&gt;0,Simulador!$D$22,Simulador!$O$24)*Simulador!$AA$44)),0)</f>
        <v>0</v>
      </c>
      <c r="AQ225" s="90">
        <f t="shared" si="84"/>
        <v>0</v>
      </c>
      <c r="AR225" s="26">
        <f t="shared" si="85"/>
        <v>0</v>
      </c>
      <c r="AS225">
        <f t="shared" si="86"/>
        <v>0</v>
      </c>
      <c r="AT225" s="549">
        <f t="shared" si="87"/>
      </c>
      <c r="AU225" s="404">
        <f t="shared" si="88"/>
        <v>0</v>
      </c>
      <c r="AV225" s="52">
        <v>120</v>
      </c>
      <c r="AW225" s="27"/>
      <c r="AX225" s="424"/>
      <c r="AZ225" s="52"/>
    </row>
    <row r="226" spans="1:52" ht="12.75">
      <c r="A226" s="503">
        <f t="shared" si="89"/>
        <v>212</v>
      </c>
      <c r="B226" s="89">
        <f t="shared" si="68"/>
        <v>0</v>
      </c>
      <c r="C226" s="89"/>
      <c r="D226" s="90">
        <f>IF(B226+F226-D225&lt;=0,B226+F226,IF(AND(OR(Simulador!$U$39=2,Simulador!$U$39=7),J225=0),_xlfn.IFERROR((((P226/360*AU226)/(1-(1+(P226/360*AU226))^-AS226))*B226)*(1+AA226),0),IF($AF$3=2,B226*AJ226,_xlfn.IFERROR((((P226/360*AU226)/(1-(1+(P226/360*AU226))^-AS226))*B226)*(1+AA226),0))))</f>
        <v>0</v>
      </c>
      <c r="E226" s="90"/>
      <c r="F226" s="90">
        <f t="shared" si="69"/>
        <v>0</v>
      </c>
      <c r="G226" s="90"/>
      <c r="H226" s="90">
        <f t="shared" si="70"/>
        <v>0</v>
      </c>
      <c r="I226" s="91"/>
      <c r="J226" s="92"/>
      <c r="K226" s="91"/>
      <c r="L226" s="90">
        <f>IF(Simulador!$T$41=1,0,J226*Simulador!$W$39*1.16)</f>
        <v>0</v>
      </c>
      <c r="M226" s="90"/>
      <c r="N226" s="93">
        <f t="shared" si="90"/>
        <v>0</v>
      </c>
      <c r="O226" s="12"/>
      <c r="P226" s="544">
        <f t="shared" si="71"/>
        <v>0</v>
      </c>
      <c r="Q226" s="4"/>
      <c r="R226" s="90">
        <f t="shared" si="72"/>
        <v>0</v>
      </c>
      <c r="S226" s="90"/>
      <c r="T226" s="90">
        <f>_xlfn.IFERROR(IF(Simulador!$U$30=1,0,IF($B226&lt;=0,0,$B226*Simulador!$AA$43)),0)</f>
        <v>0</v>
      </c>
      <c r="U226" s="90"/>
      <c r="V226" s="90">
        <f>_xlfn.IFERROR(IF(Simulador!$U$30=1,0,IF($B226&lt;=0,0,IF(Simulador!$D$22&gt;0,Simulador!$D$22,Simulador!$O$24)*Simulador!$AA$44)),0)</f>
        <v>0</v>
      </c>
      <c r="W226" s="90"/>
      <c r="X226" s="90"/>
      <c r="Y226" s="90">
        <f t="shared" si="73"/>
        <v>0</v>
      </c>
      <c r="Z226" s="13"/>
      <c r="AA226" s="18"/>
      <c r="AB226" s="23"/>
      <c r="AC226" s="364"/>
      <c r="AD226" s="222">
        <v>17</v>
      </c>
      <c r="AE226" s="219">
        <v>8</v>
      </c>
      <c r="AF226" s="269">
        <f t="shared" si="74"/>
        <v>0</v>
      </c>
      <c r="AG226" s="209">
        <f t="shared" si="75"/>
        <v>0</v>
      </c>
      <c r="AH226" s="209">
        <f t="shared" si="76"/>
        <v>0</v>
      </c>
      <c r="AI226" s="219">
        <f t="shared" si="77"/>
        <v>0</v>
      </c>
      <c r="AJ226" s="425">
        <f t="shared" si="78"/>
        <v>0</v>
      </c>
      <c r="AK226" s="57">
        <f t="shared" si="79"/>
        <v>0</v>
      </c>
      <c r="AL226" s="90">
        <f t="shared" si="80"/>
        <v>0</v>
      </c>
      <c r="AM226" s="58">
        <f t="shared" si="81"/>
        <v>0</v>
      </c>
      <c r="AN226" s="57">
        <f t="shared" si="82"/>
        <v>0</v>
      </c>
      <c r="AO226" s="432">
        <f t="shared" si="83"/>
        <v>0</v>
      </c>
      <c r="AP226" s="90">
        <f>_xlfn.IFERROR(IF(Simulador!$U$30=1,0,IF($AK226&lt;=0.01,0,$AK226*Simulador!$AA$43)),0)+_xlfn.IFERROR(IF(Simulador!$U$30=1,0,IF($AK226&lt;=0.01,0,IF(Simulador!$D$22&gt;0,Simulador!$D$22,Simulador!$O$24)*Simulador!$AA$44)),0)</f>
        <v>0</v>
      </c>
      <c r="AQ226" s="90">
        <f t="shared" si="84"/>
        <v>0</v>
      </c>
      <c r="AR226" s="26">
        <f t="shared" si="85"/>
        <v>0</v>
      </c>
      <c r="AS226">
        <f t="shared" si="86"/>
        <v>0</v>
      </c>
      <c r="AT226" s="549">
        <f t="shared" si="87"/>
      </c>
      <c r="AU226" s="404">
        <f t="shared" si="88"/>
        <v>0</v>
      </c>
      <c r="AV226" s="52">
        <v>120</v>
      </c>
      <c r="AW226" s="27"/>
      <c r="AX226" s="424"/>
      <c r="AZ226" s="52"/>
    </row>
    <row r="227" spans="1:52" ht="12.75">
      <c r="A227" s="503">
        <f t="shared" si="89"/>
        <v>213</v>
      </c>
      <c r="B227" s="89">
        <f t="shared" si="68"/>
        <v>0</v>
      </c>
      <c r="C227" s="89"/>
      <c r="D227" s="90">
        <f>IF(B227+F227-D226&lt;=0,B227+F227,IF(AND(OR(Simulador!$U$39=2,Simulador!$U$39=7),J226=0),_xlfn.IFERROR((((P227/360*AU227)/(1-(1+(P227/360*AU227))^-AS227))*B227)*(1+AA227),0),IF($AF$3=2,B227*AJ227,_xlfn.IFERROR((((P227/360*AU227)/(1-(1+(P227/360*AU227))^-AS227))*B227)*(1+AA227),0))))</f>
        <v>0</v>
      </c>
      <c r="E227" s="90"/>
      <c r="F227" s="90">
        <f t="shared" si="69"/>
        <v>0</v>
      </c>
      <c r="G227" s="90"/>
      <c r="H227" s="90">
        <f t="shared" si="70"/>
        <v>0</v>
      </c>
      <c r="I227" s="91"/>
      <c r="J227" s="92"/>
      <c r="K227" s="91"/>
      <c r="L227" s="90">
        <f>IF(Simulador!$T$41=1,0,J227*Simulador!$W$39*1.16)</f>
        <v>0</v>
      </c>
      <c r="M227" s="90"/>
      <c r="N227" s="93"/>
      <c r="O227" s="12"/>
      <c r="P227" s="544">
        <f t="shared" si="71"/>
        <v>0</v>
      </c>
      <c r="Q227" s="4"/>
      <c r="R227" s="90">
        <f t="shared" si="72"/>
        <v>0</v>
      </c>
      <c r="S227" s="90"/>
      <c r="T227" s="90">
        <f>_xlfn.IFERROR(IF(Simulador!$U$30=1,0,IF($B227&lt;=0,0,$B227*Simulador!$AA$43)),0)</f>
        <v>0</v>
      </c>
      <c r="U227" s="90"/>
      <c r="V227" s="90">
        <f>_xlfn.IFERROR(IF(Simulador!$U$30=1,0,IF($B227&lt;=0,0,IF(Simulador!$D$22&gt;0,Simulador!$D$22,Simulador!$O$24)*Simulador!$AA$44)),0)</f>
        <v>0</v>
      </c>
      <c r="W227" s="90"/>
      <c r="X227" s="90"/>
      <c r="Y227" s="90">
        <f t="shared" si="73"/>
        <v>0</v>
      </c>
      <c r="Z227" s="13"/>
      <c r="AA227" s="18"/>
      <c r="AB227" s="23"/>
      <c r="AC227" s="364"/>
      <c r="AD227" s="222">
        <v>17</v>
      </c>
      <c r="AE227" s="221">
        <v>9</v>
      </c>
      <c r="AF227" s="269">
        <f t="shared" si="74"/>
        <v>0</v>
      </c>
      <c r="AG227" s="209">
        <f t="shared" si="75"/>
        <v>0</v>
      </c>
      <c r="AH227" s="209">
        <f t="shared" si="76"/>
        <v>0</v>
      </c>
      <c r="AI227" s="219">
        <f t="shared" si="77"/>
        <v>0</v>
      </c>
      <c r="AJ227" s="425">
        <f t="shared" si="78"/>
        <v>0</v>
      </c>
      <c r="AK227" s="57">
        <f t="shared" si="79"/>
        <v>0</v>
      </c>
      <c r="AL227" s="90">
        <f t="shared" si="80"/>
        <v>0</v>
      </c>
      <c r="AM227" s="58">
        <f t="shared" si="81"/>
        <v>0</v>
      </c>
      <c r="AN227" s="57">
        <f t="shared" si="82"/>
        <v>0</v>
      </c>
      <c r="AO227" s="432">
        <f t="shared" si="83"/>
        <v>0</v>
      </c>
      <c r="AP227" s="90">
        <f>_xlfn.IFERROR(IF(Simulador!$U$30=1,0,IF($AK227&lt;=0.01,0,$AK227*Simulador!$AA$43)),0)+_xlfn.IFERROR(IF(Simulador!$U$30=1,0,IF($AK227&lt;=0.01,0,IF(Simulador!$D$22&gt;0,Simulador!$D$22,Simulador!$O$24)*Simulador!$AA$44)),0)</f>
        <v>0</v>
      </c>
      <c r="AQ227" s="90">
        <f t="shared" si="84"/>
        <v>0</v>
      </c>
      <c r="AR227" s="26">
        <f t="shared" si="85"/>
        <v>0</v>
      </c>
      <c r="AS227">
        <f t="shared" si="86"/>
        <v>0</v>
      </c>
      <c r="AT227" s="549">
        <f t="shared" si="87"/>
      </c>
      <c r="AU227" s="404">
        <f t="shared" si="88"/>
        <v>0</v>
      </c>
      <c r="AV227" s="52">
        <v>120</v>
      </c>
      <c r="AW227" s="27"/>
      <c r="AX227" s="424"/>
      <c r="AZ227" s="52"/>
    </row>
    <row r="228" spans="1:52" ht="12.75">
      <c r="A228" s="503">
        <f t="shared" si="89"/>
        <v>214</v>
      </c>
      <c r="B228" s="89">
        <f t="shared" si="68"/>
        <v>0</v>
      </c>
      <c r="C228" s="89"/>
      <c r="D228" s="90">
        <f>IF(B228+F228-D227&lt;=0,B228+F228,IF(AND(OR(Simulador!$U$39=2,Simulador!$U$39=7),J227=0),_xlfn.IFERROR((((P228/360*AU228)/(1-(1+(P228/360*AU228))^-AS228))*B228)*(1+AA228),0),IF($AF$3=2,B228*AJ228,_xlfn.IFERROR((((P228/360*AU228)/(1-(1+(P228/360*AU228))^-AS228))*B228)*(1+AA228),0))))</f>
        <v>0</v>
      </c>
      <c r="E228" s="90"/>
      <c r="F228" s="90">
        <f t="shared" si="69"/>
        <v>0</v>
      </c>
      <c r="G228" s="90"/>
      <c r="H228" s="90">
        <f t="shared" si="70"/>
        <v>0</v>
      </c>
      <c r="I228" s="91"/>
      <c r="J228" s="92"/>
      <c r="K228" s="91"/>
      <c r="L228" s="90">
        <f>IF(Simulador!$T$41=1,0,J228*Simulador!$W$39*1.16)</f>
        <v>0</v>
      </c>
      <c r="M228" s="90"/>
      <c r="N228" s="93">
        <f t="shared" si="90"/>
        <v>0</v>
      </c>
      <c r="O228" s="12"/>
      <c r="P228" s="544">
        <f t="shared" si="71"/>
        <v>0</v>
      </c>
      <c r="Q228" s="4"/>
      <c r="R228" s="90">
        <f t="shared" si="72"/>
        <v>0</v>
      </c>
      <c r="S228" s="90"/>
      <c r="T228" s="90">
        <f>_xlfn.IFERROR(IF(Simulador!$U$30=1,0,IF($B228&lt;=0,0,$B228*Simulador!$AA$43)),0)</f>
        <v>0</v>
      </c>
      <c r="U228" s="90"/>
      <c r="V228" s="90">
        <f>_xlfn.IFERROR(IF(Simulador!$U$30=1,0,IF($B228&lt;=0,0,IF(Simulador!$D$22&gt;0,Simulador!$D$22,Simulador!$O$24)*Simulador!$AA$44)),0)</f>
        <v>0</v>
      </c>
      <c r="W228" s="90"/>
      <c r="X228" s="90"/>
      <c r="Y228" s="90">
        <f t="shared" si="73"/>
        <v>0</v>
      </c>
      <c r="Z228" s="13"/>
      <c r="AA228" s="18"/>
      <c r="AB228" s="23"/>
      <c r="AC228" s="364"/>
      <c r="AD228" s="222">
        <v>17</v>
      </c>
      <c r="AE228" s="221">
        <v>10</v>
      </c>
      <c r="AF228" s="269">
        <f t="shared" si="74"/>
        <v>0</v>
      </c>
      <c r="AG228" s="209">
        <f t="shared" si="75"/>
        <v>0</v>
      </c>
      <c r="AH228" s="209">
        <f t="shared" si="76"/>
        <v>0</v>
      </c>
      <c r="AI228" s="219">
        <f t="shared" si="77"/>
        <v>0</v>
      </c>
      <c r="AJ228" s="425">
        <f t="shared" si="78"/>
        <v>0</v>
      </c>
      <c r="AK228" s="57">
        <f t="shared" si="79"/>
        <v>0</v>
      </c>
      <c r="AL228" s="90">
        <f t="shared" si="80"/>
        <v>0</v>
      </c>
      <c r="AM228" s="58">
        <f t="shared" si="81"/>
        <v>0</v>
      </c>
      <c r="AN228" s="57">
        <f t="shared" si="82"/>
        <v>0</v>
      </c>
      <c r="AO228" s="432">
        <f t="shared" si="83"/>
        <v>0</v>
      </c>
      <c r="AP228" s="90">
        <f>_xlfn.IFERROR(IF(Simulador!$U$30=1,0,IF($AK228&lt;=0.01,0,$AK228*Simulador!$AA$43)),0)+_xlfn.IFERROR(IF(Simulador!$U$30=1,0,IF($AK228&lt;=0.01,0,IF(Simulador!$D$22&gt;0,Simulador!$D$22,Simulador!$O$24)*Simulador!$AA$44)),0)</f>
        <v>0</v>
      </c>
      <c r="AQ228" s="90">
        <f t="shared" si="84"/>
        <v>0</v>
      </c>
      <c r="AR228" s="26">
        <f t="shared" si="85"/>
        <v>0</v>
      </c>
      <c r="AS228">
        <f t="shared" si="86"/>
        <v>0</v>
      </c>
      <c r="AT228" s="549">
        <f t="shared" si="87"/>
      </c>
      <c r="AU228" s="404">
        <f t="shared" si="88"/>
        <v>0</v>
      </c>
      <c r="AV228" s="52">
        <v>120</v>
      </c>
      <c r="AW228" s="27"/>
      <c r="AX228" s="424"/>
      <c r="AZ228" s="52"/>
    </row>
    <row r="229" spans="1:52" ht="12.75">
      <c r="A229" s="503">
        <f t="shared" si="89"/>
        <v>215</v>
      </c>
      <c r="B229" s="89">
        <f t="shared" si="68"/>
        <v>0</v>
      </c>
      <c r="C229" s="89"/>
      <c r="D229" s="90">
        <f>IF(B229+F229-D228&lt;=0,B229+F229,IF(AND(OR(Simulador!$U$39=2,Simulador!$U$39=7),J228=0),_xlfn.IFERROR((((P229/360*AU229)/(1-(1+(P229/360*AU229))^-AS229))*B229)*(1+AA229),0),IF($AF$3=2,B229*AJ229,_xlfn.IFERROR((((P229/360*AU229)/(1-(1+(P229/360*AU229))^-AS229))*B229)*(1+AA229),0))))</f>
        <v>0</v>
      </c>
      <c r="E229" s="90"/>
      <c r="F229" s="90">
        <f t="shared" si="69"/>
        <v>0</v>
      </c>
      <c r="G229" s="90"/>
      <c r="H229" s="90">
        <f t="shared" si="70"/>
        <v>0</v>
      </c>
      <c r="I229" s="91"/>
      <c r="J229" s="92"/>
      <c r="K229" s="91"/>
      <c r="L229" s="90">
        <f>IF(Simulador!$T$41=1,0,J229*Simulador!$W$39*1.16)</f>
        <v>0</v>
      </c>
      <c r="M229" s="90"/>
      <c r="N229" s="93"/>
      <c r="O229" s="12"/>
      <c r="P229" s="544">
        <f t="shared" si="71"/>
        <v>0</v>
      </c>
      <c r="Q229" s="4"/>
      <c r="R229" s="90">
        <f t="shared" si="72"/>
        <v>0</v>
      </c>
      <c r="S229" s="90"/>
      <c r="T229" s="90">
        <f>_xlfn.IFERROR(IF(Simulador!$U$30=1,0,IF($B229&lt;=0,0,$B229*Simulador!$AA$43)),0)</f>
        <v>0</v>
      </c>
      <c r="U229" s="90"/>
      <c r="V229" s="90">
        <f>_xlfn.IFERROR(IF(Simulador!$U$30=1,0,IF($B229&lt;=0,0,IF(Simulador!$D$22&gt;0,Simulador!$D$22,Simulador!$O$24)*Simulador!$AA$44)),0)</f>
        <v>0</v>
      </c>
      <c r="W229" s="90"/>
      <c r="X229" s="90"/>
      <c r="Y229" s="90">
        <f t="shared" si="73"/>
        <v>0</v>
      </c>
      <c r="Z229" s="13"/>
      <c r="AA229" s="18"/>
      <c r="AB229" s="23"/>
      <c r="AC229" s="364"/>
      <c r="AD229" s="222">
        <v>17</v>
      </c>
      <c r="AE229" s="219">
        <v>11</v>
      </c>
      <c r="AF229" s="269">
        <f t="shared" si="74"/>
        <v>0</v>
      </c>
      <c r="AG229" s="209">
        <f t="shared" si="75"/>
        <v>0</v>
      </c>
      <c r="AH229" s="209">
        <f t="shared" si="76"/>
        <v>0</v>
      </c>
      <c r="AI229" s="219">
        <f t="shared" si="77"/>
        <v>0</v>
      </c>
      <c r="AJ229" s="425">
        <f t="shared" si="78"/>
        <v>0</v>
      </c>
      <c r="AK229" s="57">
        <f t="shared" si="79"/>
        <v>0</v>
      </c>
      <c r="AL229" s="90">
        <f t="shared" si="80"/>
        <v>0</v>
      </c>
      <c r="AM229" s="58">
        <f t="shared" si="81"/>
        <v>0</v>
      </c>
      <c r="AN229" s="57">
        <f t="shared" si="82"/>
        <v>0</v>
      </c>
      <c r="AO229" s="432">
        <f t="shared" si="83"/>
        <v>0</v>
      </c>
      <c r="AP229" s="90">
        <f>_xlfn.IFERROR(IF(Simulador!$U$30=1,0,IF($AK229&lt;=0.01,0,$AK229*Simulador!$AA$43)),0)+_xlfn.IFERROR(IF(Simulador!$U$30=1,0,IF($AK229&lt;=0.01,0,IF(Simulador!$D$22&gt;0,Simulador!$D$22,Simulador!$O$24)*Simulador!$AA$44)),0)</f>
        <v>0</v>
      </c>
      <c r="AQ229" s="90">
        <f t="shared" si="84"/>
        <v>0</v>
      </c>
      <c r="AR229" s="26">
        <f t="shared" si="85"/>
        <v>0</v>
      </c>
      <c r="AS229">
        <f t="shared" si="86"/>
        <v>0</v>
      </c>
      <c r="AT229" s="549">
        <f t="shared" si="87"/>
      </c>
      <c r="AU229" s="404">
        <f t="shared" si="88"/>
        <v>0</v>
      </c>
      <c r="AV229" s="52">
        <v>120</v>
      </c>
      <c r="AW229" s="27"/>
      <c r="AX229" s="424"/>
      <c r="AZ229" s="52"/>
    </row>
    <row r="230" spans="1:52" ht="12.75">
      <c r="A230" s="503">
        <f t="shared" si="89"/>
        <v>216</v>
      </c>
      <c r="B230" s="89">
        <f t="shared" si="68"/>
        <v>0</v>
      </c>
      <c r="C230" s="89"/>
      <c r="D230" s="90">
        <f>IF(B230+F230-D229&lt;=0,B230+F230,IF(AND(OR(Simulador!$U$39=2,Simulador!$U$39=7),J229=0),_xlfn.IFERROR((((P230/360*AU230)/(1-(1+(P230/360*AU230))^-AS230))*B230)*(1+AA230),0),IF($AF$3=2,B230*AJ230,_xlfn.IFERROR((((P230/360*AU230)/(1-(1+(P230/360*AU230))^-AS230))*B230)*(1+AA230),0))))</f>
        <v>0</v>
      </c>
      <c r="E230" s="90"/>
      <c r="F230" s="90">
        <f t="shared" si="69"/>
        <v>0</v>
      </c>
      <c r="G230" s="90"/>
      <c r="H230" s="90">
        <f t="shared" si="70"/>
        <v>0</v>
      </c>
      <c r="I230" s="91"/>
      <c r="J230" s="92"/>
      <c r="K230" s="91"/>
      <c r="L230" s="90">
        <f>IF(Simulador!$T$41=1,0,J230*Simulador!$W$39*1.16)</f>
        <v>0</v>
      </c>
      <c r="M230" s="90"/>
      <c r="N230" s="93">
        <f t="shared" si="90"/>
        <v>0</v>
      </c>
      <c r="O230" s="12"/>
      <c r="P230" s="544">
        <f t="shared" si="71"/>
        <v>0</v>
      </c>
      <c r="Q230" s="4"/>
      <c r="R230" s="90">
        <f t="shared" si="72"/>
        <v>0</v>
      </c>
      <c r="S230" s="90"/>
      <c r="T230" s="90">
        <f>_xlfn.IFERROR(IF(Simulador!$U$30=1,0,IF($B230&lt;=0,0,$B230*Simulador!$AA$43)),0)</f>
        <v>0</v>
      </c>
      <c r="U230" s="90"/>
      <c r="V230" s="90">
        <f>_xlfn.IFERROR(IF(Simulador!$U$30=1,0,IF($B230&lt;=0,0,IF(Simulador!$D$22&gt;0,Simulador!$D$22,Simulador!$O$24)*Simulador!$AA$44)),0)</f>
        <v>0</v>
      </c>
      <c r="W230" s="90"/>
      <c r="X230" s="90"/>
      <c r="Y230" s="90">
        <f t="shared" si="73"/>
        <v>0</v>
      </c>
      <c r="Z230" s="13"/>
      <c r="AA230" s="18"/>
      <c r="AB230" s="23"/>
      <c r="AC230" s="364"/>
      <c r="AD230" s="222">
        <v>18</v>
      </c>
      <c r="AE230" s="219">
        <v>0</v>
      </c>
      <c r="AF230" s="269">
        <f t="shared" si="74"/>
        <v>0</v>
      </c>
      <c r="AG230" s="209">
        <f t="shared" si="75"/>
        <v>0</v>
      </c>
      <c r="AH230" s="209">
        <f t="shared" si="76"/>
        <v>0</v>
      </c>
      <c r="AI230" s="219">
        <f t="shared" si="77"/>
        <v>0</v>
      </c>
      <c r="AJ230" s="425">
        <f t="shared" si="78"/>
        <v>0</v>
      </c>
      <c r="AK230" s="57">
        <f t="shared" si="79"/>
        <v>0</v>
      </c>
      <c r="AL230" s="90">
        <f t="shared" si="80"/>
        <v>0</v>
      </c>
      <c r="AM230" s="58">
        <f t="shared" si="81"/>
        <v>0</v>
      </c>
      <c r="AN230" s="57">
        <f t="shared" si="82"/>
        <v>0</v>
      </c>
      <c r="AO230" s="432">
        <f t="shared" si="83"/>
        <v>0</v>
      </c>
      <c r="AP230" s="90">
        <f>_xlfn.IFERROR(IF(Simulador!$U$30=1,0,IF($AK230&lt;=0.01,0,$AK230*Simulador!$AA$43)),0)+_xlfn.IFERROR(IF(Simulador!$U$30=1,0,IF($AK230&lt;=0.01,0,IF(Simulador!$D$22&gt;0,Simulador!$D$22,Simulador!$O$24)*Simulador!$AA$44)),0)</f>
        <v>0</v>
      </c>
      <c r="AQ230" s="90">
        <f t="shared" si="84"/>
        <v>0</v>
      </c>
      <c r="AR230" s="26">
        <f t="shared" si="85"/>
        <v>0</v>
      </c>
      <c r="AS230">
        <f t="shared" si="86"/>
        <v>0</v>
      </c>
      <c r="AT230" s="549">
        <f t="shared" si="87"/>
      </c>
      <c r="AU230" s="404">
        <f t="shared" si="88"/>
        <v>0</v>
      </c>
      <c r="AV230" s="52">
        <v>120</v>
      </c>
      <c r="AW230" s="27"/>
      <c r="AX230" s="424"/>
      <c r="AZ230" s="52"/>
    </row>
    <row r="231" spans="1:52" ht="12.75">
      <c r="A231" s="503">
        <f t="shared" si="89"/>
        <v>217</v>
      </c>
      <c r="B231" s="89">
        <f t="shared" si="68"/>
        <v>0</v>
      </c>
      <c r="C231" s="89"/>
      <c r="D231" s="90">
        <f>IF(B231+F231-D230&lt;=0,B231+F231,IF(AND(OR(Simulador!$U$39=2,Simulador!$U$39=7),J230=0),_xlfn.IFERROR((((P231/360*AU231)/(1-(1+(P231/360*AU231))^-AS231))*B231)*(1+AA231),0),IF($AF$3=2,B231*AJ231,_xlfn.IFERROR((((P231/360*AU231)/(1-(1+(P231/360*AU231))^-AS231))*B231)*(1+AA231),0))))</f>
        <v>0</v>
      </c>
      <c r="E231" s="90"/>
      <c r="F231" s="90">
        <f t="shared" si="69"/>
        <v>0</v>
      </c>
      <c r="G231" s="90"/>
      <c r="H231" s="90">
        <f t="shared" si="70"/>
        <v>0</v>
      </c>
      <c r="I231" s="91"/>
      <c r="J231" s="92"/>
      <c r="K231" s="91"/>
      <c r="L231" s="90">
        <f>IF(Simulador!$T$41=1,0,J231*Simulador!$W$39*1.16)</f>
        <v>0</v>
      </c>
      <c r="M231" s="90"/>
      <c r="N231" s="93"/>
      <c r="O231" s="12"/>
      <c r="P231" s="544">
        <f t="shared" si="71"/>
        <v>0</v>
      </c>
      <c r="Q231" s="4"/>
      <c r="R231" s="90">
        <f t="shared" si="72"/>
        <v>0</v>
      </c>
      <c r="S231" s="90"/>
      <c r="T231" s="90">
        <f>_xlfn.IFERROR(IF(Simulador!$U$30=1,0,IF($B231&lt;=0,0,$B231*Simulador!$AA$43)),0)</f>
        <v>0</v>
      </c>
      <c r="U231" s="90"/>
      <c r="V231" s="90">
        <f>_xlfn.IFERROR(IF(Simulador!$U$30=1,0,IF($B231&lt;=0,0,IF(Simulador!$D$22&gt;0,Simulador!$D$22,Simulador!$O$24)*Simulador!$AA$44)),0)</f>
        <v>0</v>
      </c>
      <c r="W231" s="90"/>
      <c r="X231" s="90"/>
      <c r="Y231" s="90">
        <f t="shared" si="73"/>
        <v>0</v>
      </c>
      <c r="Z231" s="13"/>
      <c r="AA231" s="18"/>
      <c r="AB231" s="23"/>
      <c r="AC231" s="364"/>
      <c r="AD231" s="222">
        <v>18</v>
      </c>
      <c r="AE231" s="219">
        <v>1</v>
      </c>
      <c r="AF231" s="269">
        <f t="shared" si="74"/>
        <v>0</v>
      </c>
      <c r="AG231" s="209">
        <f t="shared" si="75"/>
        <v>0</v>
      </c>
      <c r="AH231" s="209">
        <f t="shared" si="76"/>
        <v>0</v>
      </c>
      <c r="AI231" s="219">
        <f t="shared" si="77"/>
        <v>0</v>
      </c>
      <c r="AJ231" s="425">
        <f t="shared" si="78"/>
        <v>0</v>
      </c>
      <c r="AK231" s="57">
        <f t="shared" si="79"/>
        <v>0</v>
      </c>
      <c r="AL231" s="90">
        <f t="shared" si="80"/>
        <v>0</v>
      </c>
      <c r="AM231" s="58">
        <f t="shared" si="81"/>
        <v>0</v>
      </c>
      <c r="AN231" s="57">
        <f t="shared" si="82"/>
        <v>0</v>
      </c>
      <c r="AO231" s="432">
        <f t="shared" si="83"/>
        <v>0</v>
      </c>
      <c r="AP231" s="90">
        <f>_xlfn.IFERROR(IF(Simulador!$U$30=1,0,IF($AK231&lt;=0.01,0,$AK231*Simulador!$AA$43)),0)+_xlfn.IFERROR(IF(Simulador!$U$30=1,0,IF($AK231&lt;=0.01,0,IF(Simulador!$D$22&gt;0,Simulador!$D$22,Simulador!$O$24)*Simulador!$AA$44)),0)</f>
        <v>0</v>
      </c>
      <c r="AQ231" s="90">
        <f t="shared" si="84"/>
        <v>0</v>
      </c>
      <c r="AR231" s="26">
        <f t="shared" si="85"/>
        <v>0</v>
      </c>
      <c r="AS231">
        <f t="shared" si="86"/>
        <v>0</v>
      </c>
      <c r="AT231" s="549">
        <f t="shared" si="87"/>
      </c>
      <c r="AU231" s="404">
        <f t="shared" si="88"/>
        <v>0</v>
      </c>
      <c r="AV231" s="52">
        <v>120</v>
      </c>
      <c r="AW231" s="27"/>
      <c r="AX231" s="424"/>
      <c r="AZ231" s="52"/>
    </row>
    <row r="232" spans="1:52" ht="12.75">
      <c r="A232" s="503">
        <f t="shared" si="89"/>
        <v>218</v>
      </c>
      <c r="B232" s="89">
        <f t="shared" si="68"/>
        <v>0</v>
      </c>
      <c r="C232" s="89"/>
      <c r="D232" s="90">
        <f>IF(B232+F232-D231&lt;=0,B232+F232,IF(AND(OR(Simulador!$U$39=2,Simulador!$U$39=7),J231=0),_xlfn.IFERROR((((P232/360*AU232)/(1-(1+(P232/360*AU232))^-AS232))*B232)*(1+AA232),0),IF($AF$3=2,B232*AJ232,_xlfn.IFERROR((((P232/360*AU232)/(1-(1+(P232/360*AU232))^-AS232))*B232)*(1+AA232),0))))</f>
        <v>0</v>
      </c>
      <c r="E232" s="90"/>
      <c r="F232" s="90">
        <f t="shared" si="69"/>
        <v>0</v>
      </c>
      <c r="G232" s="90"/>
      <c r="H232" s="90">
        <f t="shared" si="70"/>
        <v>0</v>
      </c>
      <c r="I232" s="91"/>
      <c r="J232" s="92"/>
      <c r="K232" s="91"/>
      <c r="L232" s="90">
        <f>IF(Simulador!$T$41=1,0,J232*Simulador!$W$39*1.16)</f>
        <v>0</v>
      </c>
      <c r="M232" s="90"/>
      <c r="N232" s="93">
        <f t="shared" si="90"/>
        <v>0</v>
      </c>
      <c r="O232" s="12"/>
      <c r="P232" s="544">
        <f t="shared" si="71"/>
        <v>0</v>
      </c>
      <c r="Q232" s="4"/>
      <c r="R232" s="90">
        <f t="shared" si="72"/>
        <v>0</v>
      </c>
      <c r="S232" s="90"/>
      <c r="T232" s="90">
        <f>_xlfn.IFERROR(IF(Simulador!$U$30=1,0,IF($B232&lt;=0,0,$B232*Simulador!$AA$43)),0)</f>
        <v>0</v>
      </c>
      <c r="U232" s="90"/>
      <c r="V232" s="90">
        <f>_xlfn.IFERROR(IF(Simulador!$U$30=1,0,IF($B232&lt;=0,0,IF(Simulador!$D$22&gt;0,Simulador!$D$22,Simulador!$O$24)*Simulador!$AA$44)),0)</f>
        <v>0</v>
      </c>
      <c r="W232" s="90"/>
      <c r="X232" s="90"/>
      <c r="Y232" s="90">
        <f t="shared" si="73"/>
        <v>0</v>
      </c>
      <c r="Z232" s="13"/>
      <c r="AA232" s="18"/>
      <c r="AB232" s="23"/>
      <c r="AC232" s="364"/>
      <c r="AD232" s="222">
        <v>18</v>
      </c>
      <c r="AE232" s="220">
        <v>2</v>
      </c>
      <c r="AF232" s="269">
        <f t="shared" si="74"/>
        <v>0</v>
      </c>
      <c r="AG232" s="209">
        <f t="shared" si="75"/>
        <v>0</v>
      </c>
      <c r="AH232" s="209">
        <f t="shared" si="76"/>
        <v>0</v>
      </c>
      <c r="AI232" s="219">
        <f t="shared" si="77"/>
        <v>0</v>
      </c>
      <c r="AJ232" s="425">
        <f t="shared" si="78"/>
        <v>0</v>
      </c>
      <c r="AK232" s="57">
        <f t="shared" si="79"/>
        <v>0</v>
      </c>
      <c r="AL232" s="90">
        <f t="shared" si="80"/>
        <v>0</v>
      </c>
      <c r="AM232" s="58">
        <f t="shared" si="81"/>
        <v>0</v>
      </c>
      <c r="AN232" s="57">
        <f t="shared" si="82"/>
        <v>0</v>
      </c>
      <c r="AO232" s="432">
        <f t="shared" si="83"/>
        <v>0</v>
      </c>
      <c r="AP232" s="90">
        <f>_xlfn.IFERROR(IF(Simulador!$U$30=1,0,IF($AK232&lt;=0.01,0,$AK232*Simulador!$AA$43)),0)+_xlfn.IFERROR(IF(Simulador!$U$30=1,0,IF($AK232&lt;=0.01,0,IF(Simulador!$D$22&gt;0,Simulador!$D$22,Simulador!$O$24)*Simulador!$AA$44)),0)</f>
        <v>0</v>
      </c>
      <c r="AQ232" s="90">
        <f t="shared" si="84"/>
        <v>0</v>
      </c>
      <c r="AR232" s="26">
        <f t="shared" si="85"/>
        <v>0</v>
      </c>
      <c r="AS232">
        <f t="shared" si="86"/>
        <v>0</v>
      </c>
      <c r="AT232" s="549">
        <f t="shared" si="87"/>
      </c>
      <c r="AU232" s="404">
        <f t="shared" si="88"/>
        <v>0</v>
      </c>
      <c r="AV232" s="52">
        <v>120</v>
      </c>
      <c r="AW232" s="27"/>
      <c r="AX232" s="424"/>
      <c r="AZ232" s="52"/>
    </row>
    <row r="233" spans="1:52" ht="12.75">
      <c r="A233" s="503">
        <f t="shared" si="89"/>
        <v>219</v>
      </c>
      <c r="B233" s="89">
        <f t="shared" si="68"/>
        <v>0</v>
      </c>
      <c r="C233" s="89"/>
      <c r="D233" s="90">
        <f>IF(B233+F233-D232&lt;=0,B233+F233,IF(AND(OR(Simulador!$U$39=2,Simulador!$U$39=7),J232=0),_xlfn.IFERROR((((P233/360*AU233)/(1-(1+(P233/360*AU233))^-AS233))*B233)*(1+AA233),0),IF($AF$3=2,B233*AJ233,_xlfn.IFERROR((((P233/360*AU233)/(1-(1+(P233/360*AU233))^-AS233))*B233)*(1+AA233),0))))</f>
        <v>0</v>
      </c>
      <c r="E233" s="90"/>
      <c r="F233" s="90">
        <f t="shared" si="69"/>
        <v>0</v>
      </c>
      <c r="G233" s="90"/>
      <c r="H233" s="90">
        <f t="shared" si="70"/>
        <v>0</v>
      </c>
      <c r="I233" s="91"/>
      <c r="J233" s="92"/>
      <c r="K233" s="91"/>
      <c r="L233" s="90">
        <f>IF(Simulador!$T$41=1,0,J233*Simulador!$W$39*1.16)</f>
        <v>0</v>
      </c>
      <c r="M233" s="90"/>
      <c r="N233" s="93"/>
      <c r="O233" s="12"/>
      <c r="P233" s="544">
        <f t="shared" si="71"/>
        <v>0</v>
      </c>
      <c r="Q233" s="4"/>
      <c r="R233" s="90">
        <f t="shared" si="72"/>
        <v>0</v>
      </c>
      <c r="S233" s="90"/>
      <c r="T233" s="90">
        <f>_xlfn.IFERROR(IF(Simulador!$U$30=1,0,IF($B233&lt;=0,0,$B233*Simulador!$AA$43)),0)</f>
        <v>0</v>
      </c>
      <c r="U233" s="90"/>
      <c r="V233" s="90">
        <f>_xlfn.IFERROR(IF(Simulador!$U$30=1,0,IF($B233&lt;=0,0,IF(Simulador!$D$22&gt;0,Simulador!$D$22,Simulador!$O$24)*Simulador!$AA$44)),0)</f>
        <v>0</v>
      </c>
      <c r="W233" s="90"/>
      <c r="X233" s="90"/>
      <c r="Y233" s="90">
        <f t="shared" si="73"/>
        <v>0</v>
      </c>
      <c r="Z233" s="13"/>
      <c r="AA233" s="18"/>
      <c r="AB233" s="23"/>
      <c r="AC233" s="364"/>
      <c r="AD233" s="222">
        <v>18</v>
      </c>
      <c r="AE233" s="220">
        <v>3</v>
      </c>
      <c r="AF233" s="269">
        <f t="shared" si="74"/>
        <v>0</v>
      </c>
      <c r="AG233" s="209">
        <f t="shared" si="75"/>
        <v>0</v>
      </c>
      <c r="AH233" s="209">
        <f t="shared" si="76"/>
        <v>0</v>
      </c>
      <c r="AI233" s="219">
        <f t="shared" si="77"/>
        <v>0</v>
      </c>
      <c r="AJ233" s="425">
        <f t="shared" si="78"/>
        <v>0</v>
      </c>
      <c r="AK233" s="57">
        <f t="shared" si="79"/>
        <v>0</v>
      </c>
      <c r="AL233" s="90">
        <f t="shared" si="80"/>
        <v>0</v>
      </c>
      <c r="AM233" s="58">
        <f t="shared" si="81"/>
        <v>0</v>
      </c>
      <c r="AN233" s="57">
        <f t="shared" si="82"/>
        <v>0</v>
      </c>
      <c r="AO233" s="432">
        <f t="shared" si="83"/>
        <v>0</v>
      </c>
      <c r="AP233" s="90">
        <f>_xlfn.IFERROR(IF(Simulador!$U$30=1,0,IF($AK233&lt;=0.01,0,$AK233*Simulador!$AA$43)),0)+_xlfn.IFERROR(IF(Simulador!$U$30=1,0,IF($AK233&lt;=0.01,0,IF(Simulador!$D$22&gt;0,Simulador!$D$22,Simulador!$O$24)*Simulador!$AA$44)),0)</f>
        <v>0</v>
      </c>
      <c r="AQ233" s="90">
        <f t="shared" si="84"/>
        <v>0</v>
      </c>
      <c r="AR233" s="26">
        <f t="shared" si="85"/>
        <v>0</v>
      </c>
      <c r="AS233">
        <f t="shared" si="86"/>
        <v>0</v>
      </c>
      <c r="AT233" s="549">
        <f t="shared" si="87"/>
      </c>
      <c r="AU233" s="404">
        <f t="shared" si="88"/>
        <v>0</v>
      </c>
      <c r="AV233" s="52">
        <v>120</v>
      </c>
      <c r="AW233" s="27"/>
      <c r="AX233" s="424"/>
      <c r="AZ233" s="52"/>
    </row>
    <row r="234" spans="1:52" ht="12.75">
      <c r="A234" s="503">
        <f t="shared" si="89"/>
        <v>220</v>
      </c>
      <c r="B234" s="89">
        <f t="shared" si="68"/>
        <v>0</v>
      </c>
      <c r="C234" s="89"/>
      <c r="D234" s="90">
        <f>IF(B234+F234-D233&lt;=0,B234+F234,IF(AND(OR(Simulador!$U$39=2,Simulador!$U$39=7),J233=0),_xlfn.IFERROR((((P234/360*AU234)/(1-(1+(P234/360*AU234))^-AS234))*B234)*(1+AA234),0),IF($AF$3=2,B234*AJ234,_xlfn.IFERROR((((P234/360*AU234)/(1-(1+(P234/360*AU234))^-AS234))*B234)*(1+AA234),0))))</f>
        <v>0</v>
      </c>
      <c r="E234" s="90"/>
      <c r="F234" s="90">
        <f t="shared" si="69"/>
        <v>0</v>
      </c>
      <c r="G234" s="90"/>
      <c r="H234" s="90">
        <f t="shared" si="70"/>
        <v>0</v>
      </c>
      <c r="I234" s="91"/>
      <c r="J234" s="92"/>
      <c r="K234" s="91"/>
      <c r="L234" s="90">
        <f>IF(Simulador!$T$41=1,0,J234*Simulador!$W$39*1.16)</f>
        <v>0</v>
      </c>
      <c r="M234" s="90"/>
      <c r="N234" s="93">
        <f t="shared" si="90"/>
        <v>0</v>
      </c>
      <c r="O234" s="12"/>
      <c r="P234" s="544">
        <f t="shared" si="71"/>
        <v>0</v>
      </c>
      <c r="Q234" s="4"/>
      <c r="R234" s="90">
        <f t="shared" si="72"/>
        <v>0</v>
      </c>
      <c r="S234" s="90"/>
      <c r="T234" s="90">
        <f>_xlfn.IFERROR(IF(Simulador!$U$30=1,0,IF($B234&lt;=0,0,$B234*Simulador!$AA$43)),0)</f>
        <v>0</v>
      </c>
      <c r="U234" s="90"/>
      <c r="V234" s="90">
        <f>_xlfn.IFERROR(IF(Simulador!$U$30=1,0,IF($B234&lt;=0,0,IF(Simulador!$D$22&gt;0,Simulador!$D$22,Simulador!$O$24)*Simulador!$AA$44)),0)</f>
        <v>0</v>
      </c>
      <c r="W234" s="90"/>
      <c r="X234" s="90"/>
      <c r="Y234" s="90">
        <f t="shared" si="73"/>
        <v>0</v>
      </c>
      <c r="Z234" s="13"/>
      <c r="AA234" s="18"/>
      <c r="AB234" s="23"/>
      <c r="AC234" s="364"/>
      <c r="AD234" s="222">
        <v>18</v>
      </c>
      <c r="AE234" s="219">
        <v>4</v>
      </c>
      <c r="AF234" s="269">
        <f t="shared" si="74"/>
        <v>0</v>
      </c>
      <c r="AG234" s="209">
        <f t="shared" si="75"/>
        <v>0</v>
      </c>
      <c r="AH234" s="209">
        <f t="shared" si="76"/>
        <v>0</v>
      </c>
      <c r="AI234" s="219">
        <f t="shared" si="77"/>
        <v>0</v>
      </c>
      <c r="AJ234" s="425">
        <f t="shared" si="78"/>
        <v>0</v>
      </c>
      <c r="AK234" s="57">
        <f t="shared" si="79"/>
        <v>0</v>
      </c>
      <c r="AL234" s="90">
        <f t="shared" si="80"/>
        <v>0</v>
      </c>
      <c r="AM234" s="58">
        <f t="shared" si="81"/>
        <v>0</v>
      </c>
      <c r="AN234" s="57">
        <f t="shared" si="82"/>
        <v>0</v>
      </c>
      <c r="AO234" s="432">
        <f t="shared" si="83"/>
        <v>0</v>
      </c>
      <c r="AP234" s="90">
        <f>_xlfn.IFERROR(IF(Simulador!$U$30=1,0,IF($AK234&lt;=0.01,0,$AK234*Simulador!$AA$43)),0)+_xlfn.IFERROR(IF(Simulador!$U$30=1,0,IF($AK234&lt;=0.01,0,IF(Simulador!$D$22&gt;0,Simulador!$D$22,Simulador!$O$24)*Simulador!$AA$44)),0)</f>
        <v>0</v>
      </c>
      <c r="AQ234" s="90">
        <f t="shared" si="84"/>
        <v>0</v>
      </c>
      <c r="AR234" s="26">
        <f t="shared" si="85"/>
        <v>0</v>
      </c>
      <c r="AS234">
        <f t="shared" si="86"/>
        <v>0</v>
      </c>
      <c r="AT234" s="549">
        <f t="shared" si="87"/>
      </c>
      <c r="AU234" s="404">
        <f t="shared" si="88"/>
        <v>0</v>
      </c>
      <c r="AV234" s="52">
        <v>120</v>
      </c>
      <c r="AW234" s="27"/>
      <c r="AX234" s="424"/>
      <c r="AZ234" s="52"/>
    </row>
    <row r="235" spans="1:52" ht="12.75">
      <c r="A235" s="503">
        <f t="shared" si="89"/>
        <v>221</v>
      </c>
      <c r="B235" s="89">
        <f t="shared" si="68"/>
        <v>0</v>
      </c>
      <c r="C235" s="89"/>
      <c r="D235" s="90">
        <f>IF(B235+F235-D234&lt;=0,B235+F235,IF(AND(OR(Simulador!$U$39=2,Simulador!$U$39=7),J234=0),_xlfn.IFERROR((((P235/360*AU235)/(1-(1+(P235/360*AU235))^-AS235))*B235)*(1+AA235),0),IF($AF$3=2,B235*AJ235,_xlfn.IFERROR((((P235/360*AU235)/(1-(1+(P235/360*AU235))^-AS235))*B235)*(1+AA235),0))))</f>
        <v>0</v>
      </c>
      <c r="E235" s="90"/>
      <c r="F235" s="90">
        <f t="shared" si="69"/>
        <v>0</v>
      </c>
      <c r="G235" s="90"/>
      <c r="H235" s="90">
        <f t="shared" si="70"/>
        <v>0</v>
      </c>
      <c r="I235" s="91"/>
      <c r="J235" s="92"/>
      <c r="K235" s="91"/>
      <c r="L235" s="90">
        <f>IF(Simulador!$T$41=1,0,J235*Simulador!$W$39*1.16)</f>
        <v>0</v>
      </c>
      <c r="M235" s="90"/>
      <c r="N235" s="93"/>
      <c r="O235" s="12"/>
      <c r="P235" s="544">
        <f t="shared" si="71"/>
        <v>0</v>
      </c>
      <c r="Q235" s="4"/>
      <c r="R235" s="90">
        <f t="shared" si="72"/>
        <v>0</v>
      </c>
      <c r="S235" s="90"/>
      <c r="T235" s="90">
        <f>_xlfn.IFERROR(IF(Simulador!$U$30=1,0,IF($B235&lt;=0,0,$B235*Simulador!$AA$43)),0)</f>
        <v>0</v>
      </c>
      <c r="U235" s="90"/>
      <c r="V235" s="90">
        <f>_xlfn.IFERROR(IF(Simulador!$U$30=1,0,IF($B235&lt;=0,0,IF(Simulador!$D$22&gt;0,Simulador!$D$22,Simulador!$O$24)*Simulador!$AA$44)),0)</f>
        <v>0</v>
      </c>
      <c r="W235" s="90"/>
      <c r="X235" s="90"/>
      <c r="Y235" s="90">
        <f t="shared" si="73"/>
        <v>0</v>
      </c>
      <c r="Z235" s="13"/>
      <c r="AA235" s="18"/>
      <c r="AB235" s="23"/>
      <c r="AC235" s="364"/>
      <c r="AD235" s="222">
        <v>18</v>
      </c>
      <c r="AE235" s="219">
        <v>5</v>
      </c>
      <c r="AF235" s="269">
        <f t="shared" si="74"/>
        <v>0</v>
      </c>
      <c r="AG235" s="209">
        <f t="shared" si="75"/>
        <v>0</v>
      </c>
      <c r="AH235" s="209">
        <f t="shared" si="76"/>
        <v>0</v>
      </c>
      <c r="AI235" s="219">
        <f t="shared" si="77"/>
        <v>0</v>
      </c>
      <c r="AJ235" s="425">
        <f t="shared" si="78"/>
        <v>0</v>
      </c>
      <c r="AK235" s="57">
        <f t="shared" si="79"/>
        <v>0</v>
      </c>
      <c r="AL235" s="90">
        <f t="shared" si="80"/>
        <v>0</v>
      </c>
      <c r="AM235" s="58">
        <f t="shared" si="81"/>
        <v>0</v>
      </c>
      <c r="AN235" s="57">
        <f t="shared" si="82"/>
        <v>0</v>
      </c>
      <c r="AO235" s="432">
        <f t="shared" si="83"/>
        <v>0</v>
      </c>
      <c r="AP235" s="90">
        <f>_xlfn.IFERROR(IF(Simulador!$U$30=1,0,IF($AK235&lt;=0.01,0,$AK235*Simulador!$AA$43)),0)+_xlfn.IFERROR(IF(Simulador!$U$30=1,0,IF($AK235&lt;=0.01,0,IF(Simulador!$D$22&gt;0,Simulador!$D$22,Simulador!$O$24)*Simulador!$AA$44)),0)</f>
        <v>0</v>
      </c>
      <c r="AQ235" s="90">
        <f t="shared" si="84"/>
        <v>0</v>
      </c>
      <c r="AR235" s="26">
        <f t="shared" si="85"/>
        <v>0</v>
      </c>
      <c r="AS235">
        <f t="shared" si="86"/>
        <v>0</v>
      </c>
      <c r="AT235" s="549">
        <f t="shared" si="87"/>
      </c>
      <c r="AU235" s="404">
        <f t="shared" si="88"/>
        <v>0</v>
      </c>
      <c r="AV235" s="52">
        <v>120</v>
      </c>
      <c r="AW235" s="27"/>
      <c r="AX235" s="424"/>
      <c r="AZ235" s="52"/>
    </row>
    <row r="236" spans="1:52" ht="12.75">
      <c r="A236" s="503">
        <f t="shared" si="89"/>
        <v>222</v>
      </c>
      <c r="B236" s="89">
        <f t="shared" si="68"/>
        <v>0</v>
      </c>
      <c r="C236" s="89"/>
      <c r="D236" s="90">
        <f>IF(B236+F236-D235&lt;=0,B236+F236,IF(AND(OR(Simulador!$U$39=2,Simulador!$U$39=7),J235=0),_xlfn.IFERROR((((P236/360*AU236)/(1-(1+(P236/360*AU236))^-AS236))*B236)*(1+AA236),0),IF($AF$3=2,B236*AJ236,_xlfn.IFERROR((((P236/360*AU236)/(1-(1+(P236/360*AU236))^-AS236))*B236)*(1+AA236),0))))</f>
        <v>0</v>
      </c>
      <c r="E236" s="90"/>
      <c r="F236" s="90">
        <f t="shared" si="69"/>
        <v>0</v>
      </c>
      <c r="G236" s="90"/>
      <c r="H236" s="90">
        <f t="shared" si="70"/>
        <v>0</v>
      </c>
      <c r="I236" s="91"/>
      <c r="J236" s="92"/>
      <c r="K236" s="91"/>
      <c r="L236" s="90">
        <f>IF(Simulador!$T$41=1,0,J236*Simulador!$W$39*1.16)</f>
        <v>0</v>
      </c>
      <c r="M236" s="90"/>
      <c r="N236" s="93">
        <f t="shared" si="90"/>
        <v>0</v>
      </c>
      <c r="O236" s="12"/>
      <c r="P236" s="544">
        <f t="shared" si="71"/>
        <v>0</v>
      </c>
      <c r="Q236" s="4"/>
      <c r="R236" s="90">
        <f t="shared" si="72"/>
        <v>0</v>
      </c>
      <c r="S236" s="90"/>
      <c r="T236" s="90">
        <f>_xlfn.IFERROR(IF(Simulador!$U$30=1,0,IF($B236&lt;=0,0,$B236*Simulador!$AA$43)),0)</f>
        <v>0</v>
      </c>
      <c r="U236" s="90"/>
      <c r="V236" s="90">
        <f>_xlfn.IFERROR(IF(Simulador!$U$30=1,0,IF($B236&lt;=0,0,IF(Simulador!$D$22&gt;0,Simulador!$D$22,Simulador!$O$24)*Simulador!$AA$44)),0)</f>
        <v>0</v>
      </c>
      <c r="W236" s="90"/>
      <c r="X236" s="90"/>
      <c r="Y236" s="90">
        <f t="shared" si="73"/>
        <v>0</v>
      </c>
      <c r="Z236" s="13"/>
      <c r="AA236" s="18"/>
      <c r="AB236" s="23"/>
      <c r="AC236" s="364"/>
      <c r="AD236" s="222">
        <v>18</v>
      </c>
      <c r="AE236" s="219">
        <v>6</v>
      </c>
      <c r="AF236" s="269">
        <f t="shared" si="74"/>
        <v>0</v>
      </c>
      <c r="AG236" s="209">
        <f t="shared" si="75"/>
        <v>0</v>
      </c>
      <c r="AH236" s="209">
        <f t="shared" si="76"/>
        <v>0</v>
      </c>
      <c r="AI236" s="219">
        <f t="shared" si="77"/>
        <v>0</v>
      </c>
      <c r="AJ236" s="425">
        <f t="shared" si="78"/>
        <v>0</v>
      </c>
      <c r="AK236" s="57">
        <f t="shared" si="79"/>
        <v>0</v>
      </c>
      <c r="AL236" s="90">
        <f t="shared" si="80"/>
        <v>0</v>
      </c>
      <c r="AM236" s="58">
        <f t="shared" si="81"/>
        <v>0</v>
      </c>
      <c r="AN236" s="57">
        <f t="shared" si="82"/>
        <v>0</v>
      </c>
      <c r="AO236" s="432">
        <f t="shared" si="83"/>
        <v>0</v>
      </c>
      <c r="AP236" s="90">
        <f>_xlfn.IFERROR(IF(Simulador!$U$30=1,0,IF($AK236&lt;=0.01,0,$AK236*Simulador!$AA$43)),0)+_xlfn.IFERROR(IF(Simulador!$U$30=1,0,IF($AK236&lt;=0.01,0,IF(Simulador!$D$22&gt;0,Simulador!$D$22,Simulador!$O$24)*Simulador!$AA$44)),0)</f>
        <v>0</v>
      </c>
      <c r="AQ236" s="90">
        <f t="shared" si="84"/>
        <v>0</v>
      </c>
      <c r="AR236" s="26">
        <f t="shared" si="85"/>
        <v>0</v>
      </c>
      <c r="AS236">
        <f t="shared" si="86"/>
        <v>0</v>
      </c>
      <c r="AT236" s="549">
        <f t="shared" si="87"/>
      </c>
      <c r="AU236" s="404">
        <f t="shared" si="88"/>
        <v>0</v>
      </c>
      <c r="AV236" s="52">
        <v>120</v>
      </c>
      <c r="AW236" s="27"/>
      <c r="AX236" s="424"/>
      <c r="AZ236" s="52"/>
    </row>
    <row r="237" spans="1:52" ht="12.75">
      <c r="A237" s="503">
        <f t="shared" si="89"/>
        <v>223</v>
      </c>
      <c r="B237" s="89">
        <f t="shared" si="68"/>
        <v>0</v>
      </c>
      <c r="C237" s="89"/>
      <c r="D237" s="90">
        <f>IF(B237+F237-D236&lt;=0,B237+F237,IF(AND(OR(Simulador!$U$39=2,Simulador!$U$39=7),J236=0),_xlfn.IFERROR((((P237/360*AU237)/(1-(1+(P237/360*AU237))^-AS237))*B237)*(1+AA237),0),IF($AF$3=2,B237*AJ237,_xlfn.IFERROR((((P237/360*AU237)/(1-(1+(P237/360*AU237))^-AS237))*B237)*(1+AA237),0))))</f>
        <v>0</v>
      </c>
      <c r="E237" s="90"/>
      <c r="F237" s="90">
        <f t="shared" si="69"/>
        <v>0</v>
      </c>
      <c r="G237" s="90"/>
      <c r="H237" s="90">
        <f t="shared" si="70"/>
        <v>0</v>
      </c>
      <c r="I237" s="91"/>
      <c r="J237" s="92"/>
      <c r="K237" s="91"/>
      <c r="L237" s="90">
        <f>IF(Simulador!$T$41=1,0,J237*Simulador!$W$39*1.16)</f>
        <v>0</v>
      </c>
      <c r="M237" s="90"/>
      <c r="N237" s="93"/>
      <c r="O237" s="12"/>
      <c r="P237" s="544">
        <f t="shared" si="71"/>
        <v>0</v>
      </c>
      <c r="Q237" s="4"/>
      <c r="R237" s="90">
        <f t="shared" si="72"/>
        <v>0</v>
      </c>
      <c r="S237" s="90"/>
      <c r="T237" s="90">
        <f>_xlfn.IFERROR(IF(Simulador!$U$30=1,0,IF($B237&lt;=0,0,$B237*Simulador!$AA$43)),0)</f>
        <v>0</v>
      </c>
      <c r="U237" s="90"/>
      <c r="V237" s="90">
        <f>_xlfn.IFERROR(IF(Simulador!$U$30=1,0,IF($B237&lt;=0,0,IF(Simulador!$D$22&gt;0,Simulador!$D$22,Simulador!$O$24)*Simulador!$AA$44)),0)</f>
        <v>0</v>
      </c>
      <c r="W237" s="90"/>
      <c r="X237" s="90"/>
      <c r="Y237" s="90">
        <f t="shared" si="73"/>
        <v>0</v>
      </c>
      <c r="Z237" s="13"/>
      <c r="AA237" s="18"/>
      <c r="AB237" s="23"/>
      <c r="AC237" s="364"/>
      <c r="AD237" s="222">
        <v>18</v>
      </c>
      <c r="AE237" s="219">
        <v>7</v>
      </c>
      <c r="AF237" s="269">
        <f t="shared" si="74"/>
        <v>0</v>
      </c>
      <c r="AG237" s="209">
        <f t="shared" si="75"/>
        <v>0</v>
      </c>
      <c r="AH237" s="209">
        <f t="shared" si="76"/>
        <v>0</v>
      </c>
      <c r="AI237" s="219">
        <f t="shared" si="77"/>
        <v>0</v>
      </c>
      <c r="AJ237" s="425">
        <f t="shared" si="78"/>
        <v>0</v>
      </c>
      <c r="AK237" s="57">
        <f t="shared" si="79"/>
        <v>0</v>
      </c>
      <c r="AL237" s="90">
        <f t="shared" si="80"/>
        <v>0</v>
      </c>
      <c r="AM237" s="58">
        <f t="shared" si="81"/>
        <v>0</v>
      </c>
      <c r="AN237" s="57">
        <f t="shared" si="82"/>
        <v>0</v>
      </c>
      <c r="AO237" s="432">
        <f t="shared" si="83"/>
        <v>0</v>
      </c>
      <c r="AP237" s="90">
        <f>_xlfn.IFERROR(IF(Simulador!$U$30=1,0,IF($AK237&lt;=0.01,0,$AK237*Simulador!$AA$43)),0)+_xlfn.IFERROR(IF(Simulador!$U$30=1,0,IF($AK237&lt;=0.01,0,IF(Simulador!$D$22&gt;0,Simulador!$D$22,Simulador!$O$24)*Simulador!$AA$44)),0)</f>
        <v>0</v>
      </c>
      <c r="AQ237" s="90">
        <f t="shared" si="84"/>
        <v>0</v>
      </c>
      <c r="AR237" s="26">
        <f t="shared" si="85"/>
        <v>0</v>
      </c>
      <c r="AS237">
        <f t="shared" si="86"/>
        <v>0</v>
      </c>
      <c r="AT237" s="549">
        <f t="shared" si="87"/>
      </c>
      <c r="AU237" s="404">
        <f t="shared" si="88"/>
        <v>0</v>
      </c>
      <c r="AV237" s="52">
        <v>120</v>
      </c>
      <c r="AW237" s="27"/>
      <c r="AX237" s="424"/>
      <c r="AZ237" s="52"/>
    </row>
    <row r="238" spans="1:52" ht="12.75">
      <c r="A238" s="503">
        <f t="shared" si="89"/>
        <v>224</v>
      </c>
      <c r="B238" s="89">
        <f t="shared" si="68"/>
        <v>0</v>
      </c>
      <c r="C238" s="89"/>
      <c r="D238" s="90">
        <f>IF(B238+F238-D237&lt;=0,B238+F238,IF(AND(OR(Simulador!$U$39=2,Simulador!$U$39=7),J237=0),_xlfn.IFERROR((((P238/360*AU238)/(1-(1+(P238/360*AU238))^-AS238))*B238)*(1+AA238),0),IF($AF$3=2,B238*AJ238,_xlfn.IFERROR((((P238/360*AU238)/(1-(1+(P238/360*AU238))^-AS238))*B238)*(1+AA238),0))))</f>
        <v>0</v>
      </c>
      <c r="E238" s="90"/>
      <c r="F238" s="90">
        <f t="shared" si="69"/>
        <v>0</v>
      </c>
      <c r="G238" s="90"/>
      <c r="H238" s="90">
        <f t="shared" si="70"/>
        <v>0</v>
      </c>
      <c r="I238" s="91"/>
      <c r="J238" s="92"/>
      <c r="K238" s="91"/>
      <c r="L238" s="90">
        <f>IF(Simulador!$T$41=1,0,J238*Simulador!$W$39*1.16)</f>
        <v>0</v>
      </c>
      <c r="M238" s="90"/>
      <c r="N238" s="93">
        <f t="shared" si="90"/>
        <v>0</v>
      </c>
      <c r="O238" s="12"/>
      <c r="P238" s="544">
        <f t="shared" si="71"/>
        <v>0</v>
      </c>
      <c r="Q238" s="4"/>
      <c r="R238" s="90">
        <f t="shared" si="72"/>
        <v>0</v>
      </c>
      <c r="S238" s="90"/>
      <c r="T238" s="90">
        <f>_xlfn.IFERROR(IF(Simulador!$U$30=1,0,IF($B238&lt;=0,0,$B238*Simulador!$AA$43)),0)</f>
        <v>0</v>
      </c>
      <c r="U238" s="90"/>
      <c r="V238" s="90">
        <f>_xlfn.IFERROR(IF(Simulador!$U$30=1,0,IF($B238&lt;=0,0,IF(Simulador!$D$22&gt;0,Simulador!$D$22,Simulador!$O$24)*Simulador!$AA$44)),0)</f>
        <v>0</v>
      </c>
      <c r="W238" s="90"/>
      <c r="X238" s="90"/>
      <c r="Y238" s="90">
        <f t="shared" si="73"/>
        <v>0</v>
      </c>
      <c r="Z238" s="13"/>
      <c r="AA238" s="18"/>
      <c r="AB238" s="23"/>
      <c r="AC238" s="364"/>
      <c r="AD238" s="222">
        <v>18</v>
      </c>
      <c r="AE238" s="219">
        <v>8</v>
      </c>
      <c r="AF238" s="269">
        <f t="shared" si="74"/>
        <v>0</v>
      </c>
      <c r="AG238" s="209">
        <f t="shared" si="75"/>
        <v>0</v>
      </c>
      <c r="AH238" s="209">
        <f t="shared" si="76"/>
        <v>0</v>
      </c>
      <c r="AI238" s="219">
        <f t="shared" si="77"/>
        <v>0</v>
      </c>
      <c r="AJ238" s="425">
        <f t="shared" si="78"/>
        <v>0</v>
      </c>
      <c r="AK238" s="57">
        <f t="shared" si="79"/>
        <v>0</v>
      </c>
      <c r="AL238" s="90">
        <f t="shared" si="80"/>
        <v>0</v>
      </c>
      <c r="AM238" s="58">
        <f t="shared" si="81"/>
        <v>0</v>
      </c>
      <c r="AN238" s="57">
        <f t="shared" si="82"/>
        <v>0</v>
      </c>
      <c r="AO238" s="432">
        <f t="shared" si="83"/>
        <v>0</v>
      </c>
      <c r="AP238" s="90">
        <f>_xlfn.IFERROR(IF(Simulador!$U$30=1,0,IF($AK238&lt;=0.01,0,$AK238*Simulador!$AA$43)),0)+_xlfn.IFERROR(IF(Simulador!$U$30=1,0,IF($AK238&lt;=0.01,0,IF(Simulador!$D$22&gt;0,Simulador!$D$22,Simulador!$O$24)*Simulador!$AA$44)),0)</f>
        <v>0</v>
      </c>
      <c r="AQ238" s="90">
        <f t="shared" si="84"/>
        <v>0</v>
      </c>
      <c r="AR238" s="26">
        <f t="shared" si="85"/>
        <v>0</v>
      </c>
      <c r="AS238">
        <f t="shared" si="86"/>
        <v>0</v>
      </c>
      <c r="AT238" s="549">
        <f t="shared" si="87"/>
      </c>
      <c r="AU238" s="404">
        <f t="shared" si="88"/>
        <v>0</v>
      </c>
      <c r="AV238" s="52">
        <v>120</v>
      </c>
      <c r="AW238" s="27"/>
      <c r="AX238" s="424"/>
      <c r="AZ238" s="52"/>
    </row>
    <row r="239" spans="1:52" ht="12.75">
      <c r="A239" s="503">
        <f t="shared" si="89"/>
        <v>225</v>
      </c>
      <c r="B239" s="89">
        <f t="shared" si="68"/>
        <v>0</v>
      </c>
      <c r="C239" s="89"/>
      <c r="D239" s="90">
        <f>IF(B239+F239-D238&lt;=0,B239+F239,IF(AND(OR(Simulador!$U$39=2,Simulador!$U$39=7),J238=0),_xlfn.IFERROR((((P239/360*AU239)/(1-(1+(P239/360*AU239))^-AS239))*B239)*(1+AA239),0),IF($AF$3=2,B239*AJ239,_xlfn.IFERROR((((P239/360*AU239)/(1-(1+(P239/360*AU239))^-AS239))*B239)*(1+AA239),0))))</f>
        <v>0</v>
      </c>
      <c r="E239" s="90"/>
      <c r="F239" s="90">
        <f t="shared" si="69"/>
        <v>0</v>
      </c>
      <c r="G239" s="90"/>
      <c r="H239" s="90">
        <f t="shared" si="70"/>
        <v>0</v>
      </c>
      <c r="I239" s="91"/>
      <c r="J239" s="92"/>
      <c r="K239" s="91"/>
      <c r="L239" s="90">
        <f>IF(Simulador!$T$41=1,0,J239*Simulador!$W$39*1.16)</f>
        <v>0</v>
      </c>
      <c r="M239" s="90"/>
      <c r="N239" s="93"/>
      <c r="O239" s="12"/>
      <c r="P239" s="544">
        <f t="shared" si="71"/>
        <v>0</v>
      </c>
      <c r="Q239" s="4"/>
      <c r="R239" s="90">
        <f t="shared" si="72"/>
        <v>0</v>
      </c>
      <c r="S239" s="90"/>
      <c r="T239" s="90">
        <f>_xlfn.IFERROR(IF(Simulador!$U$30=1,0,IF($B239&lt;=0,0,$B239*Simulador!$AA$43)),0)</f>
        <v>0</v>
      </c>
      <c r="U239" s="90"/>
      <c r="V239" s="90">
        <f>_xlfn.IFERROR(IF(Simulador!$U$30=1,0,IF($B239&lt;=0,0,IF(Simulador!$D$22&gt;0,Simulador!$D$22,Simulador!$O$24)*Simulador!$AA$44)),0)</f>
        <v>0</v>
      </c>
      <c r="W239" s="90"/>
      <c r="X239" s="90"/>
      <c r="Y239" s="90">
        <f t="shared" si="73"/>
        <v>0</v>
      </c>
      <c r="Z239" s="13"/>
      <c r="AA239" s="18"/>
      <c r="AB239" s="23"/>
      <c r="AC239" s="364"/>
      <c r="AD239" s="222">
        <v>18</v>
      </c>
      <c r="AE239" s="221">
        <v>9</v>
      </c>
      <c r="AF239" s="269">
        <f t="shared" si="74"/>
        <v>0</v>
      </c>
      <c r="AG239" s="209">
        <f t="shared" si="75"/>
        <v>0</v>
      </c>
      <c r="AH239" s="209">
        <f t="shared" si="76"/>
        <v>0</v>
      </c>
      <c r="AI239" s="219">
        <f t="shared" si="77"/>
        <v>0</v>
      </c>
      <c r="AJ239" s="425">
        <f t="shared" si="78"/>
        <v>0</v>
      </c>
      <c r="AK239" s="57">
        <f t="shared" si="79"/>
        <v>0</v>
      </c>
      <c r="AL239" s="90">
        <f t="shared" si="80"/>
        <v>0</v>
      </c>
      <c r="AM239" s="58">
        <f t="shared" si="81"/>
        <v>0</v>
      </c>
      <c r="AN239" s="57">
        <f t="shared" si="82"/>
        <v>0</v>
      </c>
      <c r="AO239" s="432">
        <f t="shared" si="83"/>
        <v>0</v>
      </c>
      <c r="AP239" s="90">
        <f>_xlfn.IFERROR(IF(Simulador!$U$30=1,0,IF($AK239&lt;=0.01,0,$AK239*Simulador!$AA$43)),0)+_xlfn.IFERROR(IF(Simulador!$U$30=1,0,IF($AK239&lt;=0.01,0,IF(Simulador!$D$22&gt;0,Simulador!$D$22,Simulador!$O$24)*Simulador!$AA$44)),0)</f>
        <v>0</v>
      </c>
      <c r="AQ239" s="90">
        <f t="shared" si="84"/>
        <v>0</v>
      </c>
      <c r="AR239" s="26">
        <f t="shared" si="85"/>
        <v>0</v>
      </c>
      <c r="AS239">
        <f t="shared" si="86"/>
        <v>0</v>
      </c>
      <c r="AT239" s="549">
        <f t="shared" si="87"/>
      </c>
      <c r="AU239" s="404">
        <f t="shared" si="88"/>
        <v>0</v>
      </c>
      <c r="AV239" s="52">
        <v>120</v>
      </c>
      <c r="AW239" s="27"/>
      <c r="AX239" s="424"/>
      <c r="AZ239" s="52"/>
    </row>
    <row r="240" spans="1:52" ht="12.75">
      <c r="A240" s="503">
        <f t="shared" si="89"/>
        <v>226</v>
      </c>
      <c r="B240" s="89">
        <f t="shared" si="68"/>
        <v>0</v>
      </c>
      <c r="C240" s="89"/>
      <c r="D240" s="90">
        <f>IF(B240+F240-D239&lt;=0,B240+F240,IF(AND(OR(Simulador!$U$39=2,Simulador!$U$39=7),J239=0),_xlfn.IFERROR((((P240/360*AU240)/(1-(1+(P240/360*AU240))^-AS240))*B240)*(1+AA240),0),IF($AF$3=2,B240*AJ240,_xlfn.IFERROR((((P240/360*AU240)/(1-(1+(P240/360*AU240))^-AS240))*B240)*(1+AA240),0))))</f>
        <v>0</v>
      </c>
      <c r="E240" s="90"/>
      <c r="F240" s="90">
        <f t="shared" si="69"/>
        <v>0</v>
      </c>
      <c r="G240" s="90"/>
      <c r="H240" s="90">
        <f t="shared" si="70"/>
        <v>0</v>
      </c>
      <c r="I240" s="91"/>
      <c r="J240" s="92"/>
      <c r="K240" s="91"/>
      <c r="L240" s="90">
        <f>IF(Simulador!$T$41=1,0,J240*Simulador!$W$39*1.16)</f>
        <v>0</v>
      </c>
      <c r="M240" s="90"/>
      <c r="N240" s="93">
        <f t="shared" si="90"/>
        <v>0</v>
      </c>
      <c r="O240" s="12"/>
      <c r="P240" s="544">
        <f t="shared" si="71"/>
        <v>0</v>
      </c>
      <c r="Q240" s="4"/>
      <c r="R240" s="90">
        <f t="shared" si="72"/>
        <v>0</v>
      </c>
      <c r="S240" s="90"/>
      <c r="T240" s="90">
        <f>_xlfn.IFERROR(IF(Simulador!$U$30=1,0,IF($B240&lt;=0,0,$B240*Simulador!$AA$43)),0)</f>
        <v>0</v>
      </c>
      <c r="U240" s="90"/>
      <c r="V240" s="90">
        <f>_xlfn.IFERROR(IF(Simulador!$U$30=1,0,IF($B240&lt;=0,0,IF(Simulador!$D$22&gt;0,Simulador!$D$22,Simulador!$O$24)*Simulador!$AA$44)),0)</f>
        <v>0</v>
      </c>
      <c r="W240" s="90"/>
      <c r="X240" s="90"/>
      <c r="Y240" s="90">
        <f t="shared" si="73"/>
        <v>0</v>
      </c>
      <c r="Z240" s="13"/>
      <c r="AA240" s="18"/>
      <c r="AB240" s="23"/>
      <c r="AC240" s="364"/>
      <c r="AD240" s="222">
        <v>18</v>
      </c>
      <c r="AE240" s="221">
        <v>10</v>
      </c>
      <c r="AF240" s="269">
        <f t="shared" si="74"/>
        <v>0</v>
      </c>
      <c r="AG240" s="209">
        <f t="shared" si="75"/>
        <v>0</v>
      </c>
      <c r="AH240" s="209">
        <f t="shared" si="76"/>
        <v>0</v>
      </c>
      <c r="AI240" s="219">
        <f t="shared" si="77"/>
        <v>0</v>
      </c>
      <c r="AJ240" s="425">
        <f t="shared" si="78"/>
        <v>0</v>
      </c>
      <c r="AK240" s="57">
        <f t="shared" si="79"/>
        <v>0</v>
      </c>
      <c r="AL240" s="90">
        <f t="shared" si="80"/>
        <v>0</v>
      </c>
      <c r="AM240" s="58">
        <f t="shared" si="81"/>
        <v>0</v>
      </c>
      <c r="AN240" s="57">
        <f t="shared" si="82"/>
        <v>0</v>
      </c>
      <c r="AO240" s="432">
        <f t="shared" si="83"/>
        <v>0</v>
      </c>
      <c r="AP240" s="90">
        <f>_xlfn.IFERROR(IF(Simulador!$U$30=1,0,IF($AK240&lt;=0.01,0,$AK240*Simulador!$AA$43)),0)+_xlfn.IFERROR(IF(Simulador!$U$30=1,0,IF($AK240&lt;=0.01,0,IF(Simulador!$D$22&gt;0,Simulador!$D$22,Simulador!$O$24)*Simulador!$AA$44)),0)</f>
        <v>0</v>
      </c>
      <c r="AQ240" s="90">
        <f t="shared" si="84"/>
        <v>0</v>
      </c>
      <c r="AR240" s="26">
        <f t="shared" si="85"/>
        <v>0</v>
      </c>
      <c r="AS240">
        <f t="shared" si="86"/>
        <v>0</v>
      </c>
      <c r="AT240" s="549">
        <f t="shared" si="87"/>
      </c>
      <c r="AU240" s="404">
        <f t="shared" si="88"/>
        <v>0</v>
      </c>
      <c r="AV240" s="52">
        <v>120</v>
      </c>
      <c r="AW240" s="27"/>
      <c r="AX240" s="424"/>
      <c r="AZ240" s="52"/>
    </row>
    <row r="241" spans="1:52" ht="12.75">
      <c r="A241" s="503">
        <f t="shared" si="89"/>
        <v>227</v>
      </c>
      <c r="B241" s="89">
        <f t="shared" si="68"/>
        <v>0</v>
      </c>
      <c r="C241" s="89"/>
      <c r="D241" s="90">
        <f>IF(B241+F241-D240&lt;=0,B241+F241,IF(AND(OR(Simulador!$U$39=2,Simulador!$U$39=7),J240=0),_xlfn.IFERROR((((P241/360*AU241)/(1-(1+(P241/360*AU241))^-AS241))*B241)*(1+AA241),0),IF($AF$3=2,B241*AJ241,_xlfn.IFERROR((((P241/360*AU241)/(1-(1+(P241/360*AU241))^-AS241))*B241)*(1+AA241),0))))</f>
        <v>0</v>
      </c>
      <c r="E241" s="90"/>
      <c r="F241" s="90">
        <f t="shared" si="69"/>
        <v>0</v>
      </c>
      <c r="G241" s="90"/>
      <c r="H241" s="90">
        <f t="shared" si="70"/>
        <v>0</v>
      </c>
      <c r="I241" s="91"/>
      <c r="J241" s="92"/>
      <c r="K241" s="91"/>
      <c r="L241" s="90">
        <f>IF(Simulador!$T$41=1,0,J241*Simulador!$W$39*1.16)</f>
        <v>0</v>
      </c>
      <c r="M241" s="90"/>
      <c r="N241" s="93"/>
      <c r="O241" s="12"/>
      <c r="P241" s="544">
        <f t="shared" si="71"/>
        <v>0</v>
      </c>
      <c r="Q241" s="4"/>
      <c r="R241" s="90">
        <f t="shared" si="72"/>
        <v>0</v>
      </c>
      <c r="S241" s="90"/>
      <c r="T241" s="90">
        <f>_xlfn.IFERROR(IF(Simulador!$U$30=1,0,IF($B241&lt;=0,0,$B241*Simulador!$AA$43)),0)</f>
        <v>0</v>
      </c>
      <c r="U241" s="90"/>
      <c r="V241" s="90">
        <f>_xlfn.IFERROR(IF(Simulador!$U$30=1,0,IF($B241&lt;=0,0,IF(Simulador!$D$22&gt;0,Simulador!$D$22,Simulador!$O$24)*Simulador!$AA$44)),0)</f>
        <v>0</v>
      </c>
      <c r="W241" s="90"/>
      <c r="X241" s="90"/>
      <c r="Y241" s="90">
        <f t="shared" si="73"/>
        <v>0</v>
      </c>
      <c r="Z241" s="13"/>
      <c r="AA241" s="18"/>
      <c r="AB241" s="23"/>
      <c r="AC241" s="364"/>
      <c r="AD241" s="222">
        <v>18</v>
      </c>
      <c r="AE241" s="219">
        <v>11</v>
      </c>
      <c r="AF241" s="269">
        <f t="shared" si="74"/>
        <v>0</v>
      </c>
      <c r="AG241" s="209">
        <f t="shared" si="75"/>
        <v>0</v>
      </c>
      <c r="AH241" s="209">
        <f t="shared" si="76"/>
        <v>0</v>
      </c>
      <c r="AI241" s="219">
        <f t="shared" si="77"/>
        <v>0</v>
      </c>
      <c r="AJ241" s="425">
        <f t="shared" si="78"/>
        <v>0</v>
      </c>
      <c r="AK241" s="57">
        <f t="shared" si="79"/>
        <v>0</v>
      </c>
      <c r="AL241" s="90">
        <f t="shared" si="80"/>
        <v>0</v>
      </c>
      <c r="AM241" s="58">
        <f t="shared" si="81"/>
        <v>0</v>
      </c>
      <c r="AN241" s="57">
        <f t="shared" si="82"/>
        <v>0</v>
      </c>
      <c r="AO241" s="432">
        <f t="shared" si="83"/>
        <v>0</v>
      </c>
      <c r="AP241" s="90">
        <f>_xlfn.IFERROR(IF(Simulador!$U$30=1,0,IF($AK241&lt;=0.01,0,$AK241*Simulador!$AA$43)),0)+_xlfn.IFERROR(IF(Simulador!$U$30=1,0,IF($AK241&lt;=0.01,0,IF(Simulador!$D$22&gt;0,Simulador!$D$22,Simulador!$O$24)*Simulador!$AA$44)),0)</f>
        <v>0</v>
      </c>
      <c r="AQ241" s="90">
        <f t="shared" si="84"/>
        <v>0</v>
      </c>
      <c r="AR241" s="26">
        <f t="shared" si="85"/>
        <v>0</v>
      </c>
      <c r="AS241">
        <f t="shared" si="86"/>
        <v>0</v>
      </c>
      <c r="AT241" s="549">
        <f t="shared" si="87"/>
      </c>
      <c r="AU241" s="404">
        <f t="shared" si="88"/>
        <v>0</v>
      </c>
      <c r="AV241" s="52">
        <v>120</v>
      </c>
      <c r="AW241" s="27"/>
      <c r="AX241" s="424"/>
      <c r="AZ241" s="52"/>
    </row>
    <row r="242" spans="1:52" ht="12.75">
      <c r="A242" s="503">
        <f t="shared" si="89"/>
        <v>228</v>
      </c>
      <c r="B242" s="89">
        <f t="shared" si="68"/>
        <v>0</v>
      </c>
      <c r="C242" s="89"/>
      <c r="D242" s="90">
        <f>IF(B242+F242-D241&lt;=0,B242+F242,IF(AND(OR(Simulador!$U$39=2,Simulador!$U$39=7),J241=0),_xlfn.IFERROR((((P242/360*AU242)/(1-(1+(P242/360*AU242))^-AS242))*B242)*(1+AA242),0),IF($AF$3=2,B242*AJ242,_xlfn.IFERROR((((P242/360*AU242)/(1-(1+(P242/360*AU242))^-AS242))*B242)*(1+AA242),0))))</f>
        <v>0</v>
      </c>
      <c r="E242" s="90"/>
      <c r="F242" s="90">
        <f t="shared" si="69"/>
        <v>0</v>
      </c>
      <c r="G242" s="90"/>
      <c r="H242" s="90">
        <f t="shared" si="70"/>
        <v>0</v>
      </c>
      <c r="I242" s="91"/>
      <c r="J242" s="92"/>
      <c r="K242" s="91"/>
      <c r="L242" s="90">
        <f>IF(Simulador!$T$41=1,0,J242*Simulador!$W$39*1.16)</f>
        <v>0</v>
      </c>
      <c r="M242" s="90"/>
      <c r="N242" s="93">
        <f t="shared" si="90"/>
        <v>0</v>
      </c>
      <c r="O242" s="12"/>
      <c r="P242" s="544">
        <f t="shared" si="71"/>
        <v>0</v>
      </c>
      <c r="Q242" s="4"/>
      <c r="R242" s="90">
        <f t="shared" si="72"/>
        <v>0</v>
      </c>
      <c r="S242" s="90"/>
      <c r="T242" s="90">
        <f>_xlfn.IFERROR(IF(Simulador!$U$30=1,0,IF($B242&lt;=0,0,$B242*Simulador!$AA$43)),0)</f>
        <v>0</v>
      </c>
      <c r="U242" s="90"/>
      <c r="V242" s="90">
        <f>_xlfn.IFERROR(IF(Simulador!$U$30=1,0,IF($B242&lt;=0,0,IF(Simulador!$D$22&gt;0,Simulador!$D$22,Simulador!$O$24)*Simulador!$AA$44)),0)</f>
        <v>0</v>
      </c>
      <c r="W242" s="90"/>
      <c r="X242" s="90"/>
      <c r="Y242" s="90">
        <f t="shared" si="73"/>
        <v>0</v>
      </c>
      <c r="Z242" s="13"/>
      <c r="AA242" s="18"/>
      <c r="AB242" s="23"/>
      <c r="AC242" s="364"/>
      <c r="AD242" s="222">
        <v>19</v>
      </c>
      <c r="AE242" s="219">
        <v>0</v>
      </c>
      <c r="AF242" s="269">
        <f t="shared" si="74"/>
        <v>0</v>
      </c>
      <c r="AG242" s="209">
        <f t="shared" si="75"/>
        <v>0</v>
      </c>
      <c r="AH242" s="209">
        <f t="shared" si="76"/>
        <v>0</v>
      </c>
      <c r="AI242" s="219">
        <f t="shared" si="77"/>
        <v>0</v>
      </c>
      <c r="AJ242" s="425">
        <f t="shared" si="78"/>
        <v>0</v>
      </c>
      <c r="AK242" s="57">
        <f t="shared" si="79"/>
        <v>0</v>
      </c>
      <c r="AL242" s="90">
        <f t="shared" si="80"/>
        <v>0</v>
      </c>
      <c r="AM242" s="58">
        <f t="shared" si="81"/>
        <v>0</v>
      </c>
      <c r="AN242" s="57">
        <f t="shared" si="82"/>
        <v>0</v>
      </c>
      <c r="AO242" s="432">
        <f t="shared" si="83"/>
        <v>0</v>
      </c>
      <c r="AP242" s="90">
        <f>_xlfn.IFERROR(IF(Simulador!$U$30=1,0,IF($AK242&lt;=0.01,0,$AK242*Simulador!$AA$43)),0)+_xlfn.IFERROR(IF(Simulador!$U$30=1,0,IF($AK242&lt;=0.01,0,IF(Simulador!$D$22&gt;0,Simulador!$D$22,Simulador!$O$24)*Simulador!$AA$44)),0)</f>
        <v>0</v>
      </c>
      <c r="AQ242" s="90">
        <f t="shared" si="84"/>
        <v>0</v>
      </c>
      <c r="AR242" s="26">
        <f t="shared" si="85"/>
        <v>0</v>
      </c>
      <c r="AS242">
        <f t="shared" si="86"/>
        <v>0</v>
      </c>
      <c r="AT242" s="549">
        <f t="shared" si="87"/>
      </c>
      <c r="AU242" s="404">
        <f t="shared" si="88"/>
        <v>0</v>
      </c>
      <c r="AV242" s="52">
        <v>120</v>
      </c>
      <c r="AW242" s="27"/>
      <c r="AX242" s="424"/>
      <c r="AZ242" s="52"/>
    </row>
    <row r="243" spans="1:52" ht="12.75">
      <c r="A243" s="503">
        <f t="shared" si="89"/>
        <v>229</v>
      </c>
      <c r="B243" s="89">
        <f t="shared" si="68"/>
        <v>0</v>
      </c>
      <c r="C243" s="89"/>
      <c r="D243" s="90">
        <f>IF(B243+F243-D242&lt;=0,B243+F243,IF(AND(OR(Simulador!$U$39=2,Simulador!$U$39=7),J242=0),_xlfn.IFERROR((((P243/360*AU243)/(1-(1+(P243/360*AU243))^-AS243))*B243)*(1+AA243),0),IF($AF$3=2,B243*AJ243,_xlfn.IFERROR((((P243/360*AU243)/(1-(1+(P243/360*AU243))^-AS243))*B243)*(1+AA243),0))))</f>
        <v>0</v>
      </c>
      <c r="E243" s="90"/>
      <c r="F243" s="90">
        <f t="shared" si="69"/>
        <v>0</v>
      </c>
      <c r="G243" s="90"/>
      <c r="H243" s="90">
        <f t="shared" si="70"/>
        <v>0</v>
      </c>
      <c r="I243" s="91"/>
      <c r="J243" s="92"/>
      <c r="K243" s="91"/>
      <c r="L243" s="90">
        <f>IF(Simulador!$T$41=1,0,J243*Simulador!$W$39*1.16)</f>
        <v>0</v>
      </c>
      <c r="M243" s="90"/>
      <c r="N243" s="93"/>
      <c r="O243" s="12"/>
      <c r="P243" s="544">
        <f t="shared" si="71"/>
        <v>0</v>
      </c>
      <c r="Q243" s="4"/>
      <c r="R243" s="90">
        <f t="shared" si="72"/>
        <v>0</v>
      </c>
      <c r="S243" s="90"/>
      <c r="T243" s="90">
        <f>_xlfn.IFERROR(IF(Simulador!$U$30=1,0,IF($B243&lt;=0,0,$B243*Simulador!$AA$43)),0)</f>
        <v>0</v>
      </c>
      <c r="U243" s="90"/>
      <c r="V243" s="90">
        <f>_xlfn.IFERROR(IF(Simulador!$U$30=1,0,IF($B243&lt;=0,0,IF(Simulador!$D$22&gt;0,Simulador!$D$22,Simulador!$O$24)*Simulador!$AA$44)),0)</f>
        <v>0</v>
      </c>
      <c r="W243" s="90"/>
      <c r="X243" s="90"/>
      <c r="Y243" s="90">
        <f t="shared" si="73"/>
        <v>0</v>
      </c>
      <c r="Z243" s="13"/>
      <c r="AA243" s="18"/>
      <c r="AB243" s="23"/>
      <c r="AC243" s="364"/>
      <c r="AD243" s="222">
        <v>19</v>
      </c>
      <c r="AE243" s="219">
        <v>1</v>
      </c>
      <c r="AF243" s="269">
        <f t="shared" si="74"/>
        <v>0</v>
      </c>
      <c r="AG243" s="209">
        <f t="shared" si="75"/>
        <v>0</v>
      </c>
      <c r="AH243" s="209">
        <f t="shared" si="76"/>
        <v>0</v>
      </c>
      <c r="AI243" s="219">
        <f t="shared" si="77"/>
        <v>0</v>
      </c>
      <c r="AJ243" s="425">
        <f t="shared" si="78"/>
        <v>0</v>
      </c>
      <c r="AK243" s="57">
        <f t="shared" si="79"/>
        <v>0</v>
      </c>
      <c r="AL243" s="90">
        <f t="shared" si="80"/>
        <v>0</v>
      </c>
      <c r="AM243" s="58">
        <f t="shared" si="81"/>
        <v>0</v>
      </c>
      <c r="AN243" s="57">
        <f t="shared" si="82"/>
        <v>0</v>
      </c>
      <c r="AO243" s="432">
        <f t="shared" si="83"/>
        <v>0</v>
      </c>
      <c r="AP243" s="90">
        <f>_xlfn.IFERROR(IF(Simulador!$U$30=1,0,IF($AK243&lt;=0.01,0,$AK243*Simulador!$AA$43)),0)+_xlfn.IFERROR(IF(Simulador!$U$30=1,0,IF($AK243&lt;=0.01,0,IF(Simulador!$D$22&gt;0,Simulador!$D$22,Simulador!$O$24)*Simulador!$AA$44)),0)</f>
        <v>0</v>
      </c>
      <c r="AQ243" s="90">
        <f t="shared" si="84"/>
        <v>0</v>
      </c>
      <c r="AR243" s="26">
        <f t="shared" si="85"/>
        <v>0</v>
      </c>
      <c r="AS243">
        <f t="shared" si="86"/>
        <v>0</v>
      </c>
      <c r="AT243" s="549">
        <f t="shared" si="87"/>
      </c>
      <c r="AU243" s="404">
        <f t="shared" si="88"/>
        <v>0</v>
      </c>
      <c r="AV243" s="52">
        <v>120</v>
      </c>
      <c r="AW243" s="27"/>
      <c r="AX243" s="424"/>
      <c r="AZ243" s="52"/>
    </row>
    <row r="244" spans="1:52" ht="12.75">
      <c r="A244" s="503">
        <f t="shared" si="89"/>
        <v>230</v>
      </c>
      <c r="B244" s="89">
        <f t="shared" si="68"/>
        <v>0</v>
      </c>
      <c r="C244" s="89"/>
      <c r="D244" s="90">
        <f>IF(B244+F244-D243&lt;=0,B244+F244,IF(AND(OR(Simulador!$U$39=2,Simulador!$U$39=7),J243=0),_xlfn.IFERROR((((P244/360*AU244)/(1-(1+(P244/360*AU244))^-AS244))*B244)*(1+AA244),0),IF($AF$3=2,B244*AJ244,_xlfn.IFERROR((((P244/360*AU244)/(1-(1+(P244/360*AU244))^-AS244))*B244)*(1+AA244),0))))</f>
        <v>0</v>
      </c>
      <c r="E244" s="90"/>
      <c r="F244" s="90">
        <f t="shared" si="69"/>
        <v>0</v>
      </c>
      <c r="G244" s="90"/>
      <c r="H244" s="90">
        <f t="shared" si="70"/>
        <v>0</v>
      </c>
      <c r="I244" s="91"/>
      <c r="J244" s="92"/>
      <c r="K244" s="91"/>
      <c r="L244" s="90">
        <f>IF(Simulador!$T$41=1,0,J244*Simulador!$W$39*1.16)</f>
        <v>0</v>
      </c>
      <c r="M244" s="90"/>
      <c r="N244" s="93">
        <f t="shared" si="90"/>
        <v>0</v>
      </c>
      <c r="O244" s="12"/>
      <c r="P244" s="544">
        <f t="shared" si="71"/>
        <v>0</v>
      </c>
      <c r="Q244" s="4"/>
      <c r="R244" s="90">
        <f t="shared" si="72"/>
        <v>0</v>
      </c>
      <c r="S244" s="90"/>
      <c r="T244" s="90">
        <f>_xlfn.IFERROR(IF(Simulador!$U$30=1,0,IF($B244&lt;=0,0,$B244*Simulador!$AA$43)),0)</f>
        <v>0</v>
      </c>
      <c r="U244" s="90"/>
      <c r="V244" s="90">
        <f>_xlfn.IFERROR(IF(Simulador!$U$30=1,0,IF($B244&lt;=0,0,IF(Simulador!$D$22&gt;0,Simulador!$D$22,Simulador!$O$24)*Simulador!$AA$44)),0)</f>
        <v>0</v>
      </c>
      <c r="W244" s="90"/>
      <c r="X244" s="90"/>
      <c r="Y244" s="90">
        <f t="shared" si="73"/>
        <v>0</v>
      </c>
      <c r="Z244" s="13"/>
      <c r="AA244" s="18"/>
      <c r="AB244" s="23"/>
      <c r="AC244" s="364"/>
      <c r="AD244" s="222">
        <v>19</v>
      </c>
      <c r="AE244" s="220">
        <v>2</v>
      </c>
      <c r="AF244" s="269">
        <f t="shared" si="74"/>
        <v>0</v>
      </c>
      <c r="AG244" s="209">
        <f t="shared" si="75"/>
        <v>0</v>
      </c>
      <c r="AH244" s="209">
        <f t="shared" si="76"/>
        <v>0</v>
      </c>
      <c r="AI244" s="219">
        <f t="shared" si="77"/>
        <v>0</v>
      </c>
      <c r="AJ244" s="425">
        <f t="shared" si="78"/>
        <v>0</v>
      </c>
      <c r="AK244" s="57">
        <f t="shared" si="79"/>
        <v>0</v>
      </c>
      <c r="AL244" s="90">
        <f t="shared" si="80"/>
        <v>0</v>
      </c>
      <c r="AM244" s="58">
        <f t="shared" si="81"/>
        <v>0</v>
      </c>
      <c r="AN244" s="57">
        <f t="shared" si="82"/>
        <v>0</v>
      </c>
      <c r="AO244" s="432">
        <f t="shared" si="83"/>
        <v>0</v>
      </c>
      <c r="AP244" s="90">
        <f>_xlfn.IFERROR(IF(Simulador!$U$30=1,0,IF($AK244&lt;=0.01,0,$AK244*Simulador!$AA$43)),0)+_xlfn.IFERROR(IF(Simulador!$U$30=1,0,IF($AK244&lt;=0.01,0,IF(Simulador!$D$22&gt;0,Simulador!$D$22,Simulador!$O$24)*Simulador!$AA$44)),0)</f>
        <v>0</v>
      </c>
      <c r="AQ244" s="90">
        <f t="shared" si="84"/>
        <v>0</v>
      </c>
      <c r="AR244" s="26">
        <f t="shared" si="85"/>
        <v>0</v>
      </c>
      <c r="AS244">
        <f t="shared" si="86"/>
        <v>0</v>
      </c>
      <c r="AT244" s="549">
        <f t="shared" si="87"/>
      </c>
      <c r="AU244" s="404">
        <f t="shared" si="88"/>
        <v>0</v>
      </c>
      <c r="AV244" s="52">
        <v>120</v>
      </c>
      <c r="AW244" s="27"/>
      <c r="AX244" s="424"/>
      <c r="AZ244" s="52"/>
    </row>
    <row r="245" spans="1:52" ht="12.75">
      <c r="A245" s="503">
        <f t="shared" si="89"/>
        <v>231</v>
      </c>
      <c r="B245" s="89">
        <f t="shared" si="68"/>
        <v>0</v>
      </c>
      <c r="C245" s="89"/>
      <c r="D245" s="90">
        <f>IF(B245+F245-D244&lt;=0,B245+F245,IF(AND(OR(Simulador!$U$39=2,Simulador!$U$39=7),J244=0),_xlfn.IFERROR((((P245/360*AU245)/(1-(1+(P245/360*AU245))^-AS245))*B245)*(1+AA245),0),IF($AF$3=2,B245*AJ245,_xlfn.IFERROR((((P245/360*AU245)/(1-(1+(P245/360*AU245))^-AS245))*B245)*(1+AA245),0))))</f>
        <v>0</v>
      </c>
      <c r="E245" s="90"/>
      <c r="F245" s="90">
        <f t="shared" si="69"/>
        <v>0</v>
      </c>
      <c r="G245" s="90"/>
      <c r="H245" s="90">
        <f t="shared" si="70"/>
        <v>0</v>
      </c>
      <c r="I245" s="91"/>
      <c r="J245" s="92"/>
      <c r="K245" s="91"/>
      <c r="L245" s="90">
        <f>IF(Simulador!$T$41=1,0,J245*Simulador!$W$39*1.16)</f>
        <v>0</v>
      </c>
      <c r="M245" s="90"/>
      <c r="N245" s="93"/>
      <c r="O245" s="12"/>
      <c r="P245" s="544">
        <f t="shared" si="71"/>
        <v>0</v>
      </c>
      <c r="Q245" s="4"/>
      <c r="R245" s="90">
        <f t="shared" si="72"/>
        <v>0</v>
      </c>
      <c r="S245" s="90"/>
      <c r="T245" s="90">
        <f>_xlfn.IFERROR(IF(Simulador!$U$30=1,0,IF($B245&lt;=0,0,$B245*Simulador!$AA$43)),0)</f>
        <v>0</v>
      </c>
      <c r="U245" s="90"/>
      <c r="V245" s="90">
        <f>_xlfn.IFERROR(IF(Simulador!$U$30=1,0,IF($B245&lt;=0,0,IF(Simulador!$D$22&gt;0,Simulador!$D$22,Simulador!$O$24)*Simulador!$AA$44)),0)</f>
        <v>0</v>
      </c>
      <c r="W245" s="90"/>
      <c r="X245" s="90"/>
      <c r="Y245" s="90">
        <f t="shared" si="73"/>
        <v>0</v>
      </c>
      <c r="Z245" s="13"/>
      <c r="AA245" s="18"/>
      <c r="AB245" s="23"/>
      <c r="AC245" s="364"/>
      <c r="AD245" s="222">
        <v>19</v>
      </c>
      <c r="AE245" s="220">
        <v>3</v>
      </c>
      <c r="AF245" s="269">
        <f t="shared" si="74"/>
        <v>0</v>
      </c>
      <c r="AG245" s="209">
        <f t="shared" si="75"/>
        <v>0</v>
      </c>
      <c r="AH245" s="209">
        <f t="shared" si="76"/>
        <v>0</v>
      </c>
      <c r="AI245" s="219">
        <f t="shared" si="77"/>
        <v>0</v>
      </c>
      <c r="AJ245" s="425">
        <f t="shared" si="78"/>
        <v>0</v>
      </c>
      <c r="AK245" s="57">
        <f t="shared" si="79"/>
        <v>0</v>
      </c>
      <c r="AL245" s="90">
        <f t="shared" si="80"/>
        <v>0</v>
      </c>
      <c r="AM245" s="58">
        <f t="shared" si="81"/>
        <v>0</v>
      </c>
      <c r="AN245" s="57">
        <f t="shared" si="82"/>
        <v>0</v>
      </c>
      <c r="AO245" s="432">
        <f t="shared" si="83"/>
        <v>0</v>
      </c>
      <c r="AP245" s="90">
        <f>_xlfn.IFERROR(IF(Simulador!$U$30=1,0,IF($AK245&lt;=0.01,0,$AK245*Simulador!$AA$43)),0)+_xlfn.IFERROR(IF(Simulador!$U$30=1,0,IF($AK245&lt;=0.01,0,IF(Simulador!$D$22&gt;0,Simulador!$D$22,Simulador!$O$24)*Simulador!$AA$44)),0)</f>
        <v>0</v>
      </c>
      <c r="AQ245" s="90">
        <f t="shared" si="84"/>
        <v>0</v>
      </c>
      <c r="AR245" s="26">
        <f t="shared" si="85"/>
        <v>0</v>
      </c>
      <c r="AS245">
        <f t="shared" si="86"/>
        <v>0</v>
      </c>
      <c r="AT245" s="549">
        <f t="shared" si="87"/>
      </c>
      <c r="AU245" s="404">
        <f t="shared" si="88"/>
        <v>0</v>
      </c>
      <c r="AV245" s="52">
        <v>120</v>
      </c>
      <c r="AW245" s="27"/>
      <c r="AX245" s="424"/>
      <c r="AZ245" s="52"/>
    </row>
    <row r="246" spans="1:52" ht="12.75">
      <c r="A246" s="503">
        <f t="shared" si="89"/>
        <v>232</v>
      </c>
      <c r="B246" s="89">
        <f t="shared" si="68"/>
        <v>0</v>
      </c>
      <c r="C246" s="89"/>
      <c r="D246" s="90">
        <f>IF(B246+F246-D245&lt;=0,B246+F246,IF(AND(OR(Simulador!$U$39=2,Simulador!$U$39=7),J245=0),_xlfn.IFERROR((((P246/360*AU246)/(1-(1+(P246/360*AU246))^-AS246))*B246)*(1+AA246),0),IF($AF$3=2,B246*AJ246,_xlfn.IFERROR((((P246/360*AU246)/(1-(1+(P246/360*AU246))^-AS246))*B246)*(1+AA246),0))))</f>
        <v>0</v>
      </c>
      <c r="E246" s="90"/>
      <c r="F246" s="90">
        <f t="shared" si="69"/>
        <v>0</v>
      </c>
      <c r="G246" s="90"/>
      <c r="H246" s="90">
        <f t="shared" si="70"/>
        <v>0</v>
      </c>
      <c r="I246" s="91"/>
      <c r="J246" s="92"/>
      <c r="K246" s="91"/>
      <c r="L246" s="90">
        <f>IF(Simulador!$T$41=1,0,J246*Simulador!$W$39*1.16)</f>
        <v>0</v>
      </c>
      <c r="M246" s="90"/>
      <c r="N246" s="93">
        <f t="shared" si="90"/>
        <v>0</v>
      </c>
      <c r="O246" s="12"/>
      <c r="P246" s="544">
        <f t="shared" si="71"/>
        <v>0</v>
      </c>
      <c r="Q246" s="4"/>
      <c r="R246" s="90">
        <f t="shared" si="72"/>
        <v>0</v>
      </c>
      <c r="S246" s="90"/>
      <c r="T246" s="90">
        <f>_xlfn.IFERROR(IF(Simulador!$U$30=1,0,IF($B246&lt;=0,0,$B246*Simulador!$AA$43)),0)</f>
        <v>0</v>
      </c>
      <c r="U246" s="90"/>
      <c r="V246" s="90">
        <f>_xlfn.IFERROR(IF(Simulador!$U$30=1,0,IF($B246&lt;=0,0,IF(Simulador!$D$22&gt;0,Simulador!$D$22,Simulador!$O$24)*Simulador!$AA$44)),0)</f>
        <v>0</v>
      </c>
      <c r="W246" s="90"/>
      <c r="X246" s="90"/>
      <c r="Y246" s="90">
        <f t="shared" si="73"/>
        <v>0</v>
      </c>
      <c r="Z246" s="13"/>
      <c r="AA246" s="18"/>
      <c r="AB246" s="23"/>
      <c r="AC246" s="364"/>
      <c r="AD246" s="222">
        <v>19</v>
      </c>
      <c r="AE246" s="219">
        <v>4</v>
      </c>
      <c r="AF246" s="269">
        <f t="shared" si="74"/>
        <v>0</v>
      </c>
      <c r="AG246" s="209">
        <f t="shared" si="75"/>
        <v>0</v>
      </c>
      <c r="AH246" s="209">
        <f t="shared" si="76"/>
        <v>0</v>
      </c>
      <c r="AI246" s="219">
        <f t="shared" si="77"/>
        <v>0</v>
      </c>
      <c r="AJ246" s="425">
        <f t="shared" si="78"/>
        <v>0</v>
      </c>
      <c r="AK246" s="57">
        <f t="shared" si="79"/>
        <v>0</v>
      </c>
      <c r="AL246" s="90">
        <f t="shared" si="80"/>
        <v>0</v>
      </c>
      <c r="AM246" s="58">
        <f t="shared" si="81"/>
        <v>0</v>
      </c>
      <c r="AN246" s="57">
        <f t="shared" si="82"/>
        <v>0</v>
      </c>
      <c r="AO246" s="432">
        <f t="shared" si="83"/>
        <v>0</v>
      </c>
      <c r="AP246" s="90">
        <f>_xlfn.IFERROR(IF(Simulador!$U$30=1,0,IF($AK246&lt;=0.01,0,$AK246*Simulador!$AA$43)),0)+_xlfn.IFERROR(IF(Simulador!$U$30=1,0,IF($AK246&lt;=0.01,0,IF(Simulador!$D$22&gt;0,Simulador!$D$22,Simulador!$O$24)*Simulador!$AA$44)),0)</f>
        <v>0</v>
      </c>
      <c r="AQ246" s="90">
        <f t="shared" si="84"/>
        <v>0</v>
      </c>
      <c r="AR246" s="26">
        <f t="shared" si="85"/>
        <v>0</v>
      </c>
      <c r="AS246">
        <f t="shared" si="86"/>
        <v>0</v>
      </c>
      <c r="AT246" s="549">
        <f t="shared" si="87"/>
      </c>
      <c r="AU246" s="404">
        <f t="shared" si="88"/>
        <v>0</v>
      </c>
      <c r="AV246" s="52">
        <v>120</v>
      </c>
      <c r="AW246" s="27"/>
      <c r="AX246" s="424"/>
      <c r="AZ246" s="52"/>
    </row>
    <row r="247" spans="1:52" ht="12.75">
      <c r="A247" s="503">
        <f t="shared" si="89"/>
        <v>233</v>
      </c>
      <c r="B247" s="89">
        <f t="shared" si="68"/>
        <v>0</v>
      </c>
      <c r="C247" s="89"/>
      <c r="D247" s="90">
        <f>IF(B247+F247-D246&lt;=0,B247+F247,IF(AND(OR(Simulador!$U$39=2,Simulador!$U$39=7),J246=0),_xlfn.IFERROR((((P247/360*AU247)/(1-(1+(P247/360*AU247))^-AS247))*B247)*(1+AA247),0),IF($AF$3=2,B247*AJ247,_xlfn.IFERROR((((P247/360*AU247)/(1-(1+(P247/360*AU247))^-AS247))*B247)*(1+AA247),0))))</f>
        <v>0</v>
      </c>
      <c r="E247" s="90"/>
      <c r="F247" s="90">
        <f t="shared" si="69"/>
        <v>0</v>
      </c>
      <c r="G247" s="90"/>
      <c r="H247" s="90">
        <f t="shared" si="70"/>
        <v>0</v>
      </c>
      <c r="I247" s="91"/>
      <c r="J247" s="92"/>
      <c r="K247" s="91"/>
      <c r="L247" s="90">
        <f>IF(Simulador!$T$41=1,0,J247*Simulador!$W$39*1.16)</f>
        <v>0</v>
      </c>
      <c r="M247" s="90"/>
      <c r="N247" s="93"/>
      <c r="O247" s="12"/>
      <c r="P247" s="544">
        <f t="shared" si="71"/>
        <v>0</v>
      </c>
      <c r="Q247" s="4"/>
      <c r="R247" s="90">
        <f t="shared" si="72"/>
        <v>0</v>
      </c>
      <c r="S247" s="90"/>
      <c r="T247" s="90">
        <f>_xlfn.IFERROR(IF(Simulador!$U$30=1,0,IF($B247&lt;=0,0,$B247*Simulador!$AA$43)),0)</f>
        <v>0</v>
      </c>
      <c r="U247" s="90"/>
      <c r="V247" s="90">
        <f>_xlfn.IFERROR(IF(Simulador!$U$30=1,0,IF($B247&lt;=0,0,IF(Simulador!$D$22&gt;0,Simulador!$D$22,Simulador!$O$24)*Simulador!$AA$44)),0)</f>
        <v>0</v>
      </c>
      <c r="W247" s="90"/>
      <c r="X247" s="90"/>
      <c r="Y247" s="90">
        <f t="shared" si="73"/>
        <v>0</v>
      </c>
      <c r="Z247" s="13"/>
      <c r="AA247" s="18"/>
      <c r="AB247" s="23"/>
      <c r="AC247" s="364"/>
      <c r="AD247" s="222">
        <v>19</v>
      </c>
      <c r="AE247" s="219">
        <v>5</v>
      </c>
      <c r="AF247" s="269">
        <f t="shared" si="74"/>
        <v>0</v>
      </c>
      <c r="AG247" s="209">
        <f t="shared" si="75"/>
        <v>0</v>
      </c>
      <c r="AH247" s="209">
        <f t="shared" si="76"/>
        <v>0</v>
      </c>
      <c r="AI247" s="219">
        <f t="shared" si="77"/>
        <v>0</v>
      </c>
      <c r="AJ247" s="425">
        <f t="shared" si="78"/>
        <v>0</v>
      </c>
      <c r="AK247" s="57">
        <f t="shared" si="79"/>
        <v>0</v>
      </c>
      <c r="AL247" s="90">
        <f t="shared" si="80"/>
        <v>0</v>
      </c>
      <c r="AM247" s="58">
        <f t="shared" si="81"/>
        <v>0</v>
      </c>
      <c r="AN247" s="57">
        <f t="shared" si="82"/>
        <v>0</v>
      </c>
      <c r="AO247" s="432">
        <f t="shared" si="83"/>
        <v>0</v>
      </c>
      <c r="AP247" s="90">
        <f>_xlfn.IFERROR(IF(Simulador!$U$30=1,0,IF($AK247&lt;=0.01,0,$AK247*Simulador!$AA$43)),0)+_xlfn.IFERROR(IF(Simulador!$U$30=1,0,IF($AK247&lt;=0.01,0,IF(Simulador!$D$22&gt;0,Simulador!$D$22,Simulador!$O$24)*Simulador!$AA$44)),0)</f>
        <v>0</v>
      </c>
      <c r="AQ247" s="90">
        <f t="shared" si="84"/>
        <v>0</v>
      </c>
      <c r="AR247" s="26">
        <f t="shared" si="85"/>
        <v>0</v>
      </c>
      <c r="AS247">
        <f t="shared" si="86"/>
        <v>0</v>
      </c>
      <c r="AT247" s="549">
        <f t="shared" si="87"/>
      </c>
      <c r="AU247" s="404">
        <f t="shared" si="88"/>
        <v>0</v>
      </c>
      <c r="AV247" s="52">
        <v>120</v>
      </c>
      <c r="AW247" s="27"/>
      <c r="AX247" s="424"/>
      <c r="AZ247" s="52"/>
    </row>
    <row r="248" spans="1:52" ht="12.75">
      <c r="A248" s="503">
        <f t="shared" si="89"/>
        <v>234</v>
      </c>
      <c r="B248" s="89">
        <f t="shared" si="68"/>
        <v>0</v>
      </c>
      <c r="C248" s="89"/>
      <c r="D248" s="90">
        <f>IF(B248+F248-D247&lt;=0,B248+F248,IF(AND(OR(Simulador!$U$39=2,Simulador!$U$39=7),J247=0),_xlfn.IFERROR((((P248/360*AU248)/(1-(1+(P248/360*AU248))^-AS248))*B248)*(1+AA248),0),IF($AF$3=2,B248*AJ248,_xlfn.IFERROR((((P248/360*AU248)/(1-(1+(P248/360*AU248))^-AS248))*B248)*(1+AA248),0))))</f>
        <v>0</v>
      </c>
      <c r="E248" s="90"/>
      <c r="F248" s="90">
        <f t="shared" si="69"/>
        <v>0</v>
      </c>
      <c r="G248" s="90"/>
      <c r="H248" s="90">
        <f t="shared" si="70"/>
        <v>0</v>
      </c>
      <c r="I248" s="91"/>
      <c r="J248" s="92"/>
      <c r="K248" s="91"/>
      <c r="L248" s="90">
        <f>IF(Simulador!$T$41=1,0,J248*Simulador!$W$39*1.16)</f>
        <v>0</v>
      </c>
      <c r="M248" s="90"/>
      <c r="N248" s="93">
        <f t="shared" si="90"/>
        <v>0</v>
      </c>
      <c r="O248" s="12"/>
      <c r="P248" s="544">
        <f t="shared" si="71"/>
        <v>0</v>
      </c>
      <c r="Q248" s="4"/>
      <c r="R248" s="90">
        <f t="shared" si="72"/>
        <v>0</v>
      </c>
      <c r="S248" s="90"/>
      <c r="T248" s="90">
        <f>_xlfn.IFERROR(IF(Simulador!$U$30=1,0,IF($B248&lt;=0,0,$B248*Simulador!$AA$43)),0)</f>
        <v>0</v>
      </c>
      <c r="U248" s="90"/>
      <c r="V248" s="90">
        <f>_xlfn.IFERROR(IF(Simulador!$U$30=1,0,IF($B248&lt;=0,0,IF(Simulador!$D$22&gt;0,Simulador!$D$22,Simulador!$O$24)*Simulador!$AA$44)),0)</f>
        <v>0</v>
      </c>
      <c r="W248" s="90"/>
      <c r="X248" s="90"/>
      <c r="Y248" s="90">
        <f t="shared" si="73"/>
        <v>0</v>
      </c>
      <c r="Z248" s="13"/>
      <c r="AA248" s="18"/>
      <c r="AB248" s="23"/>
      <c r="AC248" s="364"/>
      <c r="AD248" s="222">
        <v>19</v>
      </c>
      <c r="AE248" s="219">
        <v>6</v>
      </c>
      <c r="AF248" s="269">
        <f t="shared" si="74"/>
        <v>0</v>
      </c>
      <c r="AG248" s="209">
        <f t="shared" si="75"/>
        <v>0</v>
      </c>
      <c r="AH248" s="209">
        <f t="shared" si="76"/>
        <v>0</v>
      </c>
      <c r="AI248" s="219">
        <f t="shared" si="77"/>
        <v>0</v>
      </c>
      <c r="AJ248" s="425">
        <f t="shared" si="78"/>
        <v>0</v>
      </c>
      <c r="AK248" s="57">
        <f t="shared" si="79"/>
        <v>0</v>
      </c>
      <c r="AL248" s="90">
        <f t="shared" si="80"/>
        <v>0</v>
      </c>
      <c r="AM248" s="58">
        <f t="shared" si="81"/>
        <v>0</v>
      </c>
      <c r="AN248" s="57">
        <f t="shared" si="82"/>
        <v>0</v>
      </c>
      <c r="AO248" s="432">
        <f t="shared" si="83"/>
        <v>0</v>
      </c>
      <c r="AP248" s="90">
        <f>_xlfn.IFERROR(IF(Simulador!$U$30=1,0,IF($AK248&lt;=0.01,0,$AK248*Simulador!$AA$43)),0)+_xlfn.IFERROR(IF(Simulador!$U$30=1,0,IF($AK248&lt;=0.01,0,IF(Simulador!$D$22&gt;0,Simulador!$D$22,Simulador!$O$24)*Simulador!$AA$44)),0)</f>
        <v>0</v>
      </c>
      <c r="AQ248" s="90">
        <f t="shared" si="84"/>
        <v>0</v>
      </c>
      <c r="AR248" s="26">
        <f t="shared" si="85"/>
        <v>0</v>
      </c>
      <c r="AS248">
        <f t="shared" si="86"/>
        <v>0</v>
      </c>
      <c r="AT248" s="549">
        <f t="shared" si="87"/>
      </c>
      <c r="AU248" s="404">
        <f t="shared" si="88"/>
        <v>0</v>
      </c>
      <c r="AV248" s="52">
        <v>120</v>
      </c>
      <c r="AW248" s="27"/>
      <c r="AX248" s="424"/>
      <c r="AZ248" s="52"/>
    </row>
    <row r="249" spans="1:52" ht="12.75">
      <c r="A249" s="503">
        <f t="shared" si="89"/>
        <v>235</v>
      </c>
      <c r="B249" s="89">
        <f t="shared" si="68"/>
        <v>0</v>
      </c>
      <c r="C249" s="89"/>
      <c r="D249" s="90">
        <f>IF(B249+F249-D248&lt;=0,B249+F249,IF(AND(OR(Simulador!$U$39=2,Simulador!$U$39=7),J248=0),_xlfn.IFERROR((((P249/360*AU249)/(1-(1+(P249/360*AU249))^-AS249))*B249)*(1+AA249),0),IF($AF$3=2,B249*AJ249,_xlfn.IFERROR((((P249/360*AU249)/(1-(1+(P249/360*AU249))^-AS249))*B249)*(1+AA249),0))))</f>
        <v>0</v>
      </c>
      <c r="E249" s="90"/>
      <c r="F249" s="90">
        <f t="shared" si="69"/>
        <v>0</v>
      </c>
      <c r="G249" s="90"/>
      <c r="H249" s="90">
        <f t="shared" si="70"/>
        <v>0</v>
      </c>
      <c r="I249" s="91"/>
      <c r="J249" s="92"/>
      <c r="K249" s="91"/>
      <c r="L249" s="90">
        <f>IF(Simulador!$T$41=1,0,J249*Simulador!$W$39*1.16)</f>
        <v>0</v>
      </c>
      <c r="M249" s="90"/>
      <c r="N249" s="93"/>
      <c r="O249" s="12"/>
      <c r="P249" s="544">
        <f t="shared" si="71"/>
        <v>0</v>
      </c>
      <c r="Q249" s="4"/>
      <c r="R249" s="90">
        <f t="shared" si="72"/>
        <v>0</v>
      </c>
      <c r="S249" s="90"/>
      <c r="T249" s="90">
        <f>_xlfn.IFERROR(IF(Simulador!$U$30=1,0,IF($B249&lt;=0,0,$B249*Simulador!$AA$43)),0)</f>
        <v>0</v>
      </c>
      <c r="U249" s="90"/>
      <c r="V249" s="90">
        <f>_xlfn.IFERROR(IF(Simulador!$U$30=1,0,IF($B249&lt;=0,0,IF(Simulador!$D$22&gt;0,Simulador!$D$22,Simulador!$O$24)*Simulador!$AA$44)),0)</f>
        <v>0</v>
      </c>
      <c r="W249" s="90"/>
      <c r="X249" s="90"/>
      <c r="Y249" s="90">
        <f t="shared" si="73"/>
        <v>0</v>
      </c>
      <c r="Z249" s="13"/>
      <c r="AA249" s="18"/>
      <c r="AB249" s="23"/>
      <c r="AC249" s="364"/>
      <c r="AD249" s="222">
        <v>19</v>
      </c>
      <c r="AE249" s="219">
        <v>7</v>
      </c>
      <c r="AF249" s="269">
        <f t="shared" si="74"/>
        <v>0</v>
      </c>
      <c r="AG249" s="209">
        <f t="shared" si="75"/>
        <v>0</v>
      </c>
      <c r="AH249" s="209">
        <f t="shared" si="76"/>
        <v>0</v>
      </c>
      <c r="AI249" s="219">
        <f t="shared" si="77"/>
        <v>0</v>
      </c>
      <c r="AJ249" s="425">
        <f t="shared" si="78"/>
        <v>0</v>
      </c>
      <c r="AK249" s="57">
        <f t="shared" si="79"/>
        <v>0</v>
      </c>
      <c r="AL249" s="90">
        <f t="shared" si="80"/>
        <v>0</v>
      </c>
      <c r="AM249" s="58">
        <f t="shared" si="81"/>
        <v>0</v>
      </c>
      <c r="AN249" s="57">
        <f t="shared" si="82"/>
        <v>0</v>
      </c>
      <c r="AO249" s="432">
        <f t="shared" si="83"/>
        <v>0</v>
      </c>
      <c r="AP249" s="90">
        <f>_xlfn.IFERROR(IF(Simulador!$U$30=1,0,IF($AK249&lt;=0.01,0,$AK249*Simulador!$AA$43)),0)+_xlfn.IFERROR(IF(Simulador!$U$30=1,0,IF($AK249&lt;=0.01,0,IF(Simulador!$D$22&gt;0,Simulador!$D$22,Simulador!$O$24)*Simulador!$AA$44)),0)</f>
        <v>0</v>
      </c>
      <c r="AQ249" s="90">
        <f t="shared" si="84"/>
        <v>0</v>
      </c>
      <c r="AR249" s="26">
        <f t="shared" si="85"/>
        <v>0</v>
      </c>
      <c r="AS249">
        <f t="shared" si="86"/>
        <v>0</v>
      </c>
      <c r="AT249" s="549">
        <f t="shared" si="87"/>
      </c>
      <c r="AU249" s="404">
        <f t="shared" si="88"/>
        <v>0</v>
      </c>
      <c r="AV249" s="52">
        <v>120</v>
      </c>
      <c r="AW249" s="27"/>
      <c r="AX249" s="424"/>
      <c r="AZ249" s="52"/>
    </row>
    <row r="250" spans="1:52" ht="12.75">
      <c r="A250" s="503">
        <f t="shared" si="89"/>
        <v>236</v>
      </c>
      <c r="B250" s="89">
        <f t="shared" si="68"/>
        <v>0</v>
      </c>
      <c r="C250" s="89"/>
      <c r="D250" s="90">
        <f>IF(B250+F250-D249&lt;=0,B250+F250,IF(AND(OR(Simulador!$U$39=2,Simulador!$U$39=7),J249=0),_xlfn.IFERROR((((P250/360*AU250)/(1-(1+(P250/360*AU250))^-AS250))*B250)*(1+AA250),0),IF($AF$3=2,B250*AJ250,_xlfn.IFERROR((((P250/360*AU250)/(1-(1+(P250/360*AU250))^-AS250))*B250)*(1+AA250),0))))</f>
        <v>0</v>
      </c>
      <c r="E250" s="90"/>
      <c r="F250" s="90">
        <f t="shared" si="69"/>
        <v>0</v>
      </c>
      <c r="G250" s="90"/>
      <c r="H250" s="90">
        <f t="shared" si="70"/>
        <v>0</v>
      </c>
      <c r="I250" s="91"/>
      <c r="J250" s="92"/>
      <c r="K250" s="91"/>
      <c r="L250" s="90">
        <f>IF(Simulador!$T$41=1,0,J250*Simulador!$W$39*1.16)</f>
        <v>0</v>
      </c>
      <c r="M250" s="90"/>
      <c r="N250" s="93">
        <f t="shared" si="90"/>
        <v>0</v>
      </c>
      <c r="O250" s="12"/>
      <c r="P250" s="544">
        <f t="shared" si="71"/>
        <v>0</v>
      </c>
      <c r="Q250" s="4"/>
      <c r="R250" s="90">
        <f t="shared" si="72"/>
        <v>0</v>
      </c>
      <c r="S250" s="90"/>
      <c r="T250" s="90">
        <f>_xlfn.IFERROR(IF(Simulador!$U$30=1,0,IF($B250&lt;=0,0,$B250*Simulador!$AA$43)),0)</f>
        <v>0</v>
      </c>
      <c r="U250" s="90"/>
      <c r="V250" s="90">
        <f>_xlfn.IFERROR(IF(Simulador!$U$30=1,0,IF($B250&lt;=0,0,IF(Simulador!$D$22&gt;0,Simulador!$D$22,Simulador!$O$24)*Simulador!$AA$44)),0)</f>
        <v>0</v>
      </c>
      <c r="W250" s="90"/>
      <c r="X250" s="90"/>
      <c r="Y250" s="90">
        <f t="shared" si="73"/>
        <v>0</v>
      </c>
      <c r="Z250" s="13"/>
      <c r="AA250" s="18"/>
      <c r="AB250" s="23"/>
      <c r="AC250" s="364"/>
      <c r="AD250" s="222">
        <v>19</v>
      </c>
      <c r="AE250" s="219">
        <v>8</v>
      </c>
      <c r="AF250" s="269">
        <f t="shared" si="74"/>
        <v>0</v>
      </c>
      <c r="AG250" s="209">
        <f t="shared" si="75"/>
        <v>0</v>
      </c>
      <c r="AH250" s="209">
        <f t="shared" si="76"/>
        <v>0</v>
      </c>
      <c r="AI250" s="219">
        <f t="shared" si="77"/>
        <v>0</v>
      </c>
      <c r="AJ250" s="425">
        <f t="shared" si="78"/>
        <v>0</v>
      </c>
      <c r="AK250" s="57">
        <f t="shared" si="79"/>
        <v>0</v>
      </c>
      <c r="AL250" s="90">
        <f t="shared" si="80"/>
        <v>0</v>
      </c>
      <c r="AM250" s="58">
        <f t="shared" si="81"/>
        <v>0</v>
      </c>
      <c r="AN250" s="57">
        <f t="shared" si="82"/>
        <v>0</v>
      </c>
      <c r="AO250" s="432">
        <f t="shared" si="83"/>
        <v>0</v>
      </c>
      <c r="AP250" s="90">
        <f>_xlfn.IFERROR(IF(Simulador!$U$30=1,0,IF($AK250&lt;=0.01,0,$AK250*Simulador!$AA$43)),0)+_xlfn.IFERROR(IF(Simulador!$U$30=1,0,IF($AK250&lt;=0.01,0,IF(Simulador!$D$22&gt;0,Simulador!$D$22,Simulador!$O$24)*Simulador!$AA$44)),0)</f>
        <v>0</v>
      </c>
      <c r="AQ250" s="90">
        <f t="shared" si="84"/>
        <v>0</v>
      </c>
      <c r="AR250" s="26">
        <f t="shared" si="85"/>
        <v>0</v>
      </c>
      <c r="AS250">
        <f t="shared" si="86"/>
        <v>0</v>
      </c>
      <c r="AT250" s="549">
        <f t="shared" si="87"/>
      </c>
      <c r="AU250" s="404">
        <f t="shared" si="88"/>
        <v>0</v>
      </c>
      <c r="AV250" s="52">
        <v>120</v>
      </c>
      <c r="AW250" s="27"/>
      <c r="AX250" s="424"/>
      <c r="AZ250" s="52"/>
    </row>
    <row r="251" spans="1:52" ht="12.75">
      <c r="A251" s="503">
        <f t="shared" si="89"/>
        <v>237</v>
      </c>
      <c r="B251" s="89">
        <f t="shared" si="68"/>
        <v>0</v>
      </c>
      <c r="C251" s="89"/>
      <c r="D251" s="90">
        <f>IF(B251+F251-D250&lt;=0,B251+F251,IF(AND(OR(Simulador!$U$39=2,Simulador!$U$39=7),J250=0),_xlfn.IFERROR((((P251/360*AU251)/(1-(1+(P251/360*AU251))^-AS251))*B251)*(1+AA251),0),IF($AF$3=2,B251*AJ251,_xlfn.IFERROR((((P251/360*AU251)/(1-(1+(P251/360*AU251))^-AS251))*B251)*(1+AA251),0))))</f>
        <v>0</v>
      </c>
      <c r="E251" s="90"/>
      <c r="F251" s="90">
        <f t="shared" si="69"/>
        <v>0</v>
      </c>
      <c r="G251" s="90"/>
      <c r="H251" s="90">
        <f t="shared" si="70"/>
        <v>0</v>
      </c>
      <c r="I251" s="91"/>
      <c r="J251" s="92"/>
      <c r="K251" s="91"/>
      <c r="L251" s="90">
        <f>IF(Simulador!$T$41=1,0,J251*Simulador!$W$39*1.16)</f>
        <v>0</v>
      </c>
      <c r="M251" s="90"/>
      <c r="N251" s="93"/>
      <c r="O251" s="12"/>
      <c r="P251" s="544">
        <f t="shared" si="71"/>
        <v>0</v>
      </c>
      <c r="Q251" s="4"/>
      <c r="R251" s="90">
        <f t="shared" si="72"/>
        <v>0</v>
      </c>
      <c r="S251" s="90"/>
      <c r="T251" s="90">
        <f>_xlfn.IFERROR(IF(Simulador!$U$30=1,0,IF($B251&lt;=0,0,$B251*Simulador!$AA$43)),0)</f>
        <v>0</v>
      </c>
      <c r="U251" s="90"/>
      <c r="V251" s="90">
        <f>_xlfn.IFERROR(IF(Simulador!$U$30=1,0,IF($B251&lt;=0,0,IF(Simulador!$D$22&gt;0,Simulador!$D$22,Simulador!$O$24)*Simulador!$AA$44)),0)</f>
        <v>0</v>
      </c>
      <c r="W251" s="90"/>
      <c r="X251" s="90"/>
      <c r="Y251" s="90">
        <f t="shared" si="73"/>
        <v>0</v>
      </c>
      <c r="Z251" s="13"/>
      <c r="AA251" s="18"/>
      <c r="AB251" s="23"/>
      <c r="AC251" s="364"/>
      <c r="AD251" s="222">
        <v>19</v>
      </c>
      <c r="AE251" s="221">
        <v>9</v>
      </c>
      <c r="AF251" s="269">
        <f t="shared" si="74"/>
        <v>0</v>
      </c>
      <c r="AG251" s="209">
        <f t="shared" si="75"/>
        <v>0</v>
      </c>
      <c r="AH251" s="209">
        <f>IF(AF251&gt;0,AE251,0)</f>
        <v>0</v>
      </c>
      <c r="AI251" s="219">
        <f t="shared" si="77"/>
        <v>0</v>
      </c>
      <c r="AJ251" s="425">
        <f t="shared" si="78"/>
        <v>0</v>
      </c>
      <c r="AK251" s="57">
        <f t="shared" si="79"/>
        <v>0</v>
      </c>
      <c r="AL251" s="90">
        <f t="shared" si="80"/>
        <v>0</v>
      </c>
      <c r="AM251" s="58">
        <f t="shared" si="81"/>
        <v>0</v>
      </c>
      <c r="AN251" s="57">
        <f t="shared" si="82"/>
        <v>0</v>
      </c>
      <c r="AO251" s="432">
        <f t="shared" si="83"/>
        <v>0</v>
      </c>
      <c r="AP251" s="90">
        <f>_xlfn.IFERROR(IF(Simulador!$U$30=1,0,IF($AK251&lt;=0.01,0,$AK251*Simulador!$AA$43)),0)+_xlfn.IFERROR(IF(Simulador!$U$30=1,0,IF($AK251&lt;=0.01,0,IF(Simulador!$D$22&gt;0,Simulador!$D$22,Simulador!$O$24)*Simulador!$AA$44)),0)</f>
        <v>0</v>
      </c>
      <c r="AQ251" s="90">
        <f t="shared" si="84"/>
        <v>0</v>
      </c>
      <c r="AR251" s="26">
        <f t="shared" si="85"/>
        <v>0</v>
      </c>
      <c r="AS251">
        <f t="shared" si="86"/>
        <v>0</v>
      </c>
      <c r="AT251" s="549">
        <f t="shared" si="87"/>
      </c>
      <c r="AU251" s="404">
        <f t="shared" si="88"/>
        <v>0</v>
      </c>
      <c r="AV251" s="52">
        <v>120</v>
      </c>
      <c r="AW251" s="27"/>
      <c r="AX251" s="424"/>
      <c r="AZ251" s="52"/>
    </row>
    <row r="252" spans="1:52" ht="12.75">
      <c r="A252" s="503">
        <f t="shared" si="89"/>
        <v>238</v>
      </c>
      <c r="B252" s="89">
        <f t="shared" si="68"/>
        <v>0</v>
      </c>
      <c r="C252" s="89"/>
      <c r="D252" s="90">
        <f>IF(B252+F252-D251&lt;=0,B252+F252,IF(AND(OR(Simulador!$U$39=2,Simulador!$U$39=7),J251=0),_xlfn.IFERROR((((P252/360*AU252)/(1-(1+(P252/360*AU252))^-AS252))*B252)*(1+AA252),0),IF($AF$3=2,B252*AJ252,_xlfn.IFERROR((((P252/360*AU252)/(1-(1+(P252/360*AU252))^-AS252))*B252)*(1+AA252),0))))</f>
        <v>0</v>
      </c>
      <c r="E252" s="90"/>
      <c r="F252" s="90">
        <f t="shared" si="69"/>
        <v>0</v>
      </c>
      <c r="G252" s="90"/>
      <c r="H252" s="90">
        <f t="shared" si="70"/>
        <v>0</v>
      </c>
      <c r="I252" s="91"/>
      <c r="J252" s="92"/>
      <c r="K252" s="91"/>
      <c r="L252" s="90">
        <f>IF(Simulador!$T$41=1,0,J252*Simulador!$W$39*1.16)</f>
        <v>0</v>
      </c>
      <c r="M252" s="90"/>
      <c r="N252" s="93">
        <f t="shared" si="90"/>
        <v>0</v>
      </c>
      <c r="O252" s="12"/>
      <c r="P252" s="544">
        <f t="shared" si="71"/>
        <v>0</v>
      </c>
      <c r="Q252" s="4"/>
      <c r="R252" s="90">
        <f t="shared" si="72"/>
        <v>0</v>
      </c>
      <c r="S252" s="90"/>
      <c r="T252" s="90">
        <f>_xlfn.IFERROR(IF(Simulador!$U$30=1,0,IF($B252&lt;=0,0,$B252*Simulador!$AA$43)),0)</f>
        <v>0</v>
      </c>
      <c r="U252" s="90"/>
      <c r="V252" s="90">
        <f>_xlfn.IFERROR(IF(Simulador!$U$30=1,0,IF($B252&lt;=0,0,IF(Simulador!$D$22&gt;0,Simulador!$D$22,Simulador!$O$24)*Simulador!$AA$44)),0)</f>
        <v>0</v>
      </c>
      <c r="W252" s="90"/>
      <c r="X252" s="90"/>
      <c r="Y252" s="90">
        <f t="shared" si="73"/>
        <v>0</v>
      </c>
      <c r="Z252" s="13"/>
      <c r="AA252" s="18"/>
      <c r="AB252" s="23"/>
      <c r="AC252" s="364"/>
      <c r="AD252" s="222">
        <v>19</v>
      </c>
      <c r="AE252" s="221">
        <v>10</v>
      </c>
      <c r="AF252" s="269">
        <f t="shared" si="74"/>
        <v>0</v>
      </c>
      <c r="AG252" s="209">
        <f t="shared" si="75"/>
        <v>0</v>
      </c>
      <c r="AH252" s="209">
        <f t="shared" si="76"/>
        <v>0</v>
      </c>
      <c r="AI252" s="219">
        <f t="shared" si="77"/>
        <v>0</v>
      </c>
      <c r="AJ252" s="425">
        <f t="shared" si="78"/>
        <v>0</v>
      </c>
      <c r="AK252" s="57">
        <f t="shared" si="79"/>
        <v>0</v>
      </c>
      <c r="AL252" s="90">
        <f t="shared" si="80"/>
        <v>0</v>
      </c>
      <c r="AM252" s="58">
        <f t="shared" si="81"/>
        <v>0</v>
      </c>
      <c r="AN252" s="57">
        <f t="shared" si="82"/>
        <v>0</v>
      </c>
      <c r="AO252" s="432">
        <f t="shared" si="83"/>
        <v>0</v>
      </c>
      <c r="AP252" s="90">
        <f>_xlfn.IFERROR(IF(Simulador!$U$30=1,0,IF($AK252&lt;=0.01,0,$AK252*Simulador!$AA$43)),0)+_xlfn.IFERROR(IF(Simulador!$U$30=1,0,IF($AK252&lt;=0.01,0,IF(Simulador!$D$22&gt;0,Simulador!$D$22,Simulador!$O$24)*Simulador!$AA$44)),0)</f>
        <v>0</v>
      </c>
      <c r="AQ252" s="90">
        <f t="shared" si="84"/>
        <v>0</v>
      </c>
      <c r="AR252" s="26">
        <f t="shared" si="85"/>
        <v>0</v>
      </c>
      <c r="AS252">
        <f t="shared" si="86"/>
        <v>0</v>
      </c>
      <c r="AT252" s="549">
        <f t="shared" si="87"/>
      </c>
      <c r="AU252" s="404">
        <f t="shared" si="88"/>
        <v>0</v>
      </c>
      <c r="AV252" s="52">
        <v>120</v>
      </c>
      <c r="AW252" s="27"/>
      <c r="AX252" s="424"/>
      <c r="AZ252" s="52"/>
    </row>
    <row r="253" spans="1:52" ht="12.75">
      <c r="A253" s="503">
        <f t="shared" si="89"/>
        <v>239</v>
      </c>
      <c r="B253" s="89">
        <f t="shared" si="68"/>
        <v>0</v>
      </c>
      <c r="C253" s="89"/>
      <c r="D253" s="90">
        <f>IF(B253+F253-D252&lt;=0,B253+F253,IF(AND(OR(Simulador!$U$39=2,Simulador!$U$39=7),J252=0),_xlfn.IFERROR((((P253/360*AU253)/(1-(1+(P253/360*AU253))^-AS253))*B253)*(1+AA253),0),IF($AF$3=2,B253*AJ253,_xlfn.IFERROR((((P253/360*AU253)/(1-(1+(P253/360*AU253))^-AS253))*B253)*(1+AA253),0))))</f>
        <v>0</v>
      </c>
      <c r="E253" s="90"/>
      <c r="F253" s="90">
        <f t="shared" si="69"/>
        <v>0</v>
      </c>
      <c r="G253" s="90"/>
      <c r="H253" s="90">
        <f t="shared" si="70"/>
        <v>0</v>
      </c>
      <c r="I253" s="91"/>
      <c r="J253" s="92"/>
      <c r="K253" s="91"/>
      <c r="L253" s="90">
        <f>IF(Simulador!$T$41=1,0,J253*Simulador!$W$39*1.16)</f>
        <v>0</v>
      </c>
      <c r="M253" s="90"/>
      <c r="N253" s="93"/>
      <c r="O253" s="12"/>
      <c r="P253" s="544">
        <f t="shared" si="71"/>
        <v>0</v>
      </c>
      <c r="Q253" s="4"/>
      <c r="R253" s="90">
        <f t="shared" si="72"/>
        <v>0</v>
      </c>
      <c r="S253" s="90"/>
      <c r="T253" s="90">
        <f>_xlfn.IFERROR(IF(Simulador!$U$30=1,0,IF($B253&lt;=0,0,$B253*Simulador!$AA$43)),0)</f>
        <v>0</v>
      </c>
      <c r="U253" s="90"/>
      <c r="V253" s="90">
        <f>_xlfn.IFERROR(IF(Simulador!$U$30=1,0,IF($B253&lt;=0,0,IF(Simulador!$D$22&gt;0,Simulador!$D$22,Simulador!$O$24)*Simulador!$AA$44)),0)</f>
        <v>0</v>
      </c>
      <c r="W253" s="90"/>
      <c r="X253" s="90"/>
      <c r="Y253" s="90">
        <f t="shared" si="73"/>
        <v>0</v>
      </c>
      <c r="Z253" s="13"/>
      <c r="AA253" s="18"/>
      <c r="AB253" s="23"/>
      <c r="AC253" s="364"/>
      <c r="AD253" s="222">
        <v>19</v>
      </c>
      <c r="AE253" s="219">
        <v>11</v>
      </c>
      <c r="AF253" s="269">
        <f t="shared" si="74"/>
        <v>0</v>
      </c>
      <c r="AG253" s="209">
        <f t="shared" si="75"/>
        <v>0</v>
      </c>
      <c r="AH253" s="209">
        <f t="shared" si="76"/>
        <v>0</v>
      </c>
      <c r="AI253" s="219">
        <f t="shared" si="77"/>
        <v>0</v>
      </c>
      <c r="AJ253" s="425">
        <f t="shared" si="78"/>
        <v>0</v>
      </c>
      <c r="AK253" s="57">
        <f t="shared" si="79"/>
        <v>0</v>
      </c>
      <c r="AL253" s="90">
        <f t="shared" si="80"/>
        <v>0</v>
      </c>
      <c r="AM253" s="58">
        <f t="shared" si="81"/>
        <v>0</v>
      </c>
      <c r="AN253" s="57">
        <f t="shared" si="82"/>
        <v>0</v>
      </c>
      <c r="AO253" s="432">
        <f t="shared" si="83"/>
        <v>0</v>
      </c>
      <c r="AP253" s="90">
        <f>_xlfn.IFERROR(IF(Simulador!$U$30=1,0,IF($AK253&lt;=0.01,0,$AK253*Simulador!$AA$43)),0)+_xlfn.IFERROR(IF(Simulador!$U$30=1,0,IF($AK253&lt;=0.01,0,IF(Simulador!$D$22&gt;0,Simulador!$D$22,Simulador!$O$24)*Simulador!$AA$44)),0)</f>
        <v>0</v>
      </c>
      <c r="AQ253" s="90">
        <f t="shared" si="84"/>
        <v>0</v>
      </c>
      <c r="AR253" s="26">
        <f t="shared" si="85"/>
        <v>0</v>
      </c>
      <c r="AS253">
        <f t="shared" si="86"/>
        <v>0</v>
      </c>
      <c r="AT253" s="549">
        <f t="shared" si="87"/>
      </c>
      <c r="AU253" s="404">
        <f t="shared" si="88"/>
        <v>0</v>
      </c>
      <c r="AV253" s="52">
        <v>120</v>
      </c>
      <c r="AW253" s="27"/>
      <c r="AX253" s="424"/>
      <c r="AZ253" s="52"/>
    </row>
    <row r="254" spans="1:52" ht="13.5" thickBot="1">
      <c r="A254" s="503">
        <f t="shared" si="89"/>
        <v>240</v>
      </c>
      <c r="B254" s="89">
        <f t="shared" si="68"/>
        <v>0</v>
      </c>
      <c r="C254" s="89"/>
      <c r="D254" s="90">
        <f>IF(B254+F254-D253&lt;=0,B254+F254,IF(AND(OR(Simulador!$U$39=2,Simulador!$U$39=7),J253=0),_xlfn.IFERROR((((P254/360*AU254)/(1-(1+(P254/360*AU254))^-AS254))*B254)*(1+AA254),0),IF($AF$3=2,B254*AJ254,_xlfn.IFERROR((((P254/360*AU254)/(1-(1+(P254/360*AU254))^-AS254))*B254)*(1+AA254),0))))</f>
        <v>0</v>
      </c>
      <c r="E254" s="90"/>
      <c r="F254" s="90">
        <f t="shared" si="69"/>
        <v>0</v>
      </c>
      <c r="G254" s="90"/>
      <c r="H254" s="90">
        <f t="shared" si="70"/>
        <v>0</v>
      </c>
      <c r="I254" s="91"/>
      <c r="J254" s="92"/>
      <c r="K254" s="91"/>
      <c r="L254" s="90">
        <f>IF(Simulador!$T$41=1,0,J254*Simulador!$W$39*1.16)</f>
        <v>0</v>
      </c>
      <c r="M254" s="90"/>
      <c r="N254" s="93">
        <f t="shared" si="90"/>
        <v>0</v>
      </c>
      <c r="O254" s="12"/>
      <c r="P254" s="544">
        <f t="shared" si="71"/>
        <v>0</v>
      </c>
      <c r="Q254" s="4"/>
      <c r="R254" s="90">
        <f t="shared" si="72"/>
        <v>0</v>
      </c>
      <c r="S254" s="90"/>
      <c r="T254" s="90">
        <f>_xlfn.IFERROR(IF(Simulador!$U$30=1,0,IF($B254&lt;=0,0,$B254*Simulador!$AA$43)),0)</f>
        <v>0</v>
      </c>
      <c r="U254" s="90"/>
      <c r="V254" s="90">
        <f>_xlfn.IFERROR(IF(Simulador!$U$30=1,0,IF($B254&lt;=0,0,IF(Simulador!$D$22&gt;0,Simulador!$D$22,Simulador!$O$24)*Simulador!$AA$44)),0)</f>
        <v>0</v>
      </c>
      <c r="W254" s="90"/>
      <c r="X254" s="90"/>
      <c r="Y254" s="90">
        <f t="shared" si="73"/>
        <v>0</v>
      </c>
      <c r="Z254" s="13"/>
      <c r="AA254" s="18"/>
      <c r="AB254" s="23"/>
      <c r="AC254" s="364"/>
      <c r="AD254" s="222">
        <v>20</v>
      </c>
      <c r="AE254" s="219">
        <v>0</v>
      </c>
      <c r="AF254" s="269">
        <f t="shared" si="74"/>
        <v>0</v>
      </c>
      <c r="AG254" s="209">
        <f>IF(AF254&gt;0,AD254,0)</f>
        <v>0</v>
      </c>
      <c r="AH254" s="209">
        <f t="shared" si="76"/>
        <v>0</v>
      </c>
      <c r="AI254" s="219">
        <f t="shared" si="77"/>
        <v>0</v>
      </c>
      <c r="AJ254" s="425">
        <f t="shared" si="78"/>
        <v>0</v>
      </c>
      <c r="AK254" s="57">
        <f t="shared" si="79"/>
        <v>0</v>
      </c>
      <c r="AL254" s="90">
        <f t="shared" si="80"/>
        <v>0</v>
      </c>
      <c r="AM254" s="58">
        <f t="shared" si="81"/>
        <v>0</v>
      </c>
      <c r="AN254" s="57">
        <f t="shared" si="82"/>
        <v>0</v>
      </c>
      <c r="AO254" s="432">
        <f t="shared" si="83"/>
        <v>0</v>
      </c>
      <c r="AP254" s="90">
        <f>_xlfn.IFERROR(IF(Simulador!$U$30=1,0,IF($AK254&lt;=0.01,0,$AK254*Simulador!$AA$43)),0)+_xlfn.IFERROR(IF(Simulador!$U$30=1,0,IF($AK254&lt;=0.01,0,IF(Simulador!$D$22&gt;0,Simulador!$D$22,Simulador!$O$24)*Simulador!$AA$44)),0)</f>
        <v>0</v>
      </c>
      <c r="AQ254" s="90">
        <f t="shared" si="84"/>
        <v>0</v>
      </c>
      <c r="AR254" s="26">
        <f t="shared" si="85"/>
        <v>0</v>
      </c>
      <c r="AS254">
        <f t="shared" si="86"/>
        <v>0</v>
      </c>
      <c r="AT254" s="549">
        <f t="shared" si="87"/>
      </c>
      <c r="AU254" s="404">
        <f t="shared" si="88"/>
        <v>0</v>
      </c>
      <c r="AV254" s="52">
        <v>120</v>
      </c>
      <c r="AW254" s="27"/>
      <c r="AX254" s="424"/>
      <c r="AZ254" s="52"/>
    </row>
    <row r="255" spans="1:56" ht="22.5" customHeight="1">
      <c r="A255" s="618"/>
      <c r="B255" s="617"/>
      <c r="C255" s="617"/>
      <c r="D255" s="612" t="s">
        <v>351</v>
      </c>
      <c r="E255" s="612"/>
      <c r="F255" s="612" t="s">
        <v>352</v>
      </c>
      <c r="G255" s="612"/>
      <c r="H255" s="612" t="s">
        <v>353</v>
      </c>
      <c r="I255" s="613"/>
      <c r="J255" s="612" t="s">
        <v>354</v>
      </c>
      <c r="K255" s="617"/>
      <c r="L255" s="617"/>
      <c r="M255" s="617"/>
      <c r="N255" s="617"/>
      <c r="O255" s="617"/>
      <c r="P255" s="617"/>
      <c r="Q255" s="617"/>
      <c r="R255" s="617"/>
      <c r="S255" s="617"/>
      <c r="T255" s="616" t="s">
        <v>355</v>
      </c>
      <c r="U255" s="616"/>
      <c r="V255" s="616" t="s">
        <v>356</v>
      </c>
      <c r="W255" s="617"/>
      <c r="X255" s="5"/>
      <c r="Y255" s="616" t="s">
        <v>357</v>
      </c>
      <c r="Z255" s="617"/>
      <c r="AA255" s="617"/>
      <c r="AB255" s="23"/>
      <c r="AC255" s="365"/>
      <c r="AD255" s="434"/>
      <c r="AE255" s="435"/>
      <c r="AK255" s="436"/>
      <c r="AL255" s="436"/>
      <c r="AM255" s="436"/>
      <c r="AN255" s="436"/>
      <c r="AO255" s="436"/>
      <c r="AP255" s="436"/>
      <c r="AQ255" s="436"/>
      <c r="AR255" s="436"/>
      <c r="AS255" s="436"/>
      <c r="AT255" s="550"/>
      <c r="AU255" s="436"/>
      <c r="AV255" s="436"/>
      <c r="AW255" s="436"/>
      <c r="AX255" s="423"/>
      <c r="AY255" s="423"/>
      <c r="AZ255" s="423"/>
      <c r="BA255" s="421"/>
      <c r="BB255" s="421"/>
      <c r="BC255" s="421"/>
      <c r="BD255" s="421"/>
    </row>
    <row r="256" spans="1:49" ht="12.75" thickBot="1">
      <c r="A256" s="50"/>
      <c r="B256" s="615"/>
      <c r="C256" s="615"/>
      <c r="D256" s="614">
        <f>SUM(D15:D254)</f>
        <v>0</v>
      </c>
      <c r="E256" s="615"/>
      <c r="F256" s="614">
        <f>SUM(F15:F254)</f>
        <v>0</v>
      </c>
      <c r="G256" s="615"/>
      <c r="H256" s="614">
        <f>SUM(H15:H254)</f>
        <v>0</v>
      </c>
      <c r="I256" s="615"/>
      <c r="J256" s="614">
        <f>SUM(J15:J254)</f>
        <v>0</v>
      </c>
      <c r="K256" s="615"/>
      <c r="L256" s="615"/>
      <c r="M256" s="615"/>
      <c r="N256" s="615"/>
      <c r="O256" s="615"/>
      <c r="P256" s="615"/>
      <c r="Q256" s="615"/>
      <c r="R256" s="615"/>
      <c r="S256" s="615"/>
      <c r="T256" s="614">
        <f>SUM(T15:T254)</f>
        <v>0</v>
      </c>
      <c r="U256" s="615"/>
      <c r="V256" s="614">
        <f>SUM(V15:V254)</f>
        <v>0</v>
      </c>
      <c r="W256" s="615"/>
      <c r="X256" s="49"/>
      <c r="Y256" s="614">
        <f>SUM(Y15:Y254)</f>
        <v>0</v>
      </c>
      <c r="Z256" s="615"/>
      <c r="AA256" s="615"/>
      <c r="AB256" s="225"/>
      <c r="AC256" s="362"/>
      <c r="AD256" s="437"/>
      <c r="AE256" s="437"/>
      <c r="AF256" s="437"/>
      <c r="AG256" s="437"/>
      <c r="AH256" s="437"/>
      <c r="AK256" s="436"/>
      <c r="AL256" s="436"/>
      <c r="AM256" s="436"/>
      <c r="AN256" s="436"/>
      <c r="AO256" s="436"/>
      <c r="AP256" s="436"/>
      <c r="AQ256" s="436"/>
      <c r="AR256" s="436"/>
      <c r="AS256" s="436"/>
      <c r="AT256" s="550"/>
      <c r="AU256" s="436"/>
      <c r="AV256" s="436"/>
      <c r="AW256" s="436"/>
    </row>
    <row r="257" spans="2:51" ht="12">
      <c r="B257" s="441"/>
      <c r="C257" s="441"/>
      <c r="D257" s="441"/>
      <c r="E257" s="441"/>
      <c r="F257" s="441"/>
      <c r="G257" s="441"/>
      <c r="H257" s="441"/>
      <c r="I257" s="441"/>
      <c r="J257" s="441"/>
      <c r="K257" s="441"/>
      <c r="L257" s="441"/>
      <c r="M257" s="442"/>
      <c r="N257" s="442"/>
      <c r="O257" s="442"/>
      <c r="P257" s="442"/>
      <c r="Q257" s="442"/>
      <c r="R257" s="441"/>
      <c r="T257" s="441"/>
      <c r="V257" s="441"/>
      <c r="Y257" s="441"/>
      <c r="AN257" s="420"/>
      <c r="AP257" s="420"/>
      <c r="AW257" s="420"/>
      <c r="AY257" s="420"/>
    </row>
    <row r="258" spans="4:25" ht="12">
      <c r="D258" s="48"/>
      <c r="F258" s="48"/>
      <c r="H258" s="48"/>
      <c r="Y258" s="59"/>
    </row>
  </sheetData>
  <sheetProtection password="FBFD" sheet="1" objects="1" scenarios="1"/>
  <mergeCells count="5">
    <mergeCell ref="A3:AB3"/>
    <mergeCell ref="A4:AB4"/>
    <mergeCell ref="A1:AB1"/>
    <mergeCell ref="A2:AB2"/>
    <mergeCell ref="L5:N5"/>
  </mergeCells>
  <printOptions horizontalCentered="1"/>
  <pageMargins left="0.3937007874015748" right="0.3937007874015748" top="0.3937007874015748" bottom="0.3937007874015748" header="0" footer="0"/>
  <pageSetup fitToHeight="0" horizontalDpi="600" verticalDpi="600" orientation="portrait" scale="55" r:id="rId4"/>
  <rowBreaks count="1" manualBreakCount="1">
    <brk id="74" max="27" man="1"/>
  </rowBreaks>
  <drawing r:id="rId3"/>
  <legacyDrawing r:id="rId2"/>
</worksheet>
</file>

<file path=xl/worksheets/sheet3.xml><?xml version="1.0" encoding="utf-8"?>
<worksheet xmlns="http://schemas.openxmlformats.org/spreadsheetml/2006/main" xmlns:r="http://schemas.openxmlformats.org/officeDocument/2006/relationships">
  <sheetPr codeName="Hoja4"/>
  <dimension ref="A1:D45"/>
  <sheetViews>
    <sheetView showGridLines="0" showRowColHeaders="0" zoomScale="90" zoomScaleNormal="90" zoomScalePageLayoutView="0" workbookViewId="0" topLeftCell="A1">
      <selection activeCell="A45" sqref="A45:D45"/>
    </sheetView>
  </sheetViews>
  <sheetFormatPr defaultColWidth="11.421875" defaultRowHeight="12.75"/>
  <cols>
    <col min="1" max="1" width="32.421875" style="34" customWidth="1"/>
    <col min="2" max="2" width="28.57421875" style="34" customWidth="1"/>
    <col min="3" max="3" width="25.57421875" style="34" customWidth="1"/>
    <col min="4" max="4" width="30.57421875" style="34" customWidth="1"/>
    <col min="5" max="5" width="14.421875" style="34" customWidth="1"/>
    <col min="6" max="16384" width="11.421875" style="34" customWidth="1"/>
  </cols>
  <sheetData>
    <row r="1" spans="1:4" ht="36" customHeight="1">
      <c r="A1" s="641"/>
      <c r="B1" s="641"/>
      <c r="C1" s="641"/>
      <c r="D1" s="641"/>
    </row>
    <row r="2" spans="1:4" ht="21.75" customHeight="1">
      <c r="A2" s="677" t="s">
        <v>314</v>
      </c>
      <c r="B2" s="677"/>
      <c r="C2" s="677"/>
      <c r="D2" s="677"/>
    </row>
    <row r="3" spans="1:4" ht="21" customHeight="1">
      <c r="A3" s="551"/>
      <c r="B3" s="551"/>
      <c r="C3" s="551"/>
      <c r="D3" s="552" t="s">
        <v>290</v>
      </c>
    </row>
    <row r="4" spans="1:4" ht="15.75" customHeight="1">
      <c r="A4" s="551"/>
      <c r="B4" s="551"/>
      <c r="C4" s="551"/>
      <c r="D4" s="552">
        <f>IF(Simulador!M11="","",Simulador!M11)</f>
      </c>
    </row>
    <row r="5" spans="1:4" ht="12">
      <c r="A5" s="551"/>
      <c r="B5" s="551"/>
      <c r="C5" s="551"/>
      <c r="D5" s="552" t="s">
        <v>333</v>
      </c>
    </row>
    <row r="6" spans="1:4" ht="12.75" customHeight="1">
      <c r="A6" s="553"/>
      <c r="B6" s="553"/>
      <c r="C6" s="553"/>
      <c r="D6" s="554"/>
    </row>
    <row r="7" spans="1:4" ht="12.75" customHeight="1">
      <c r="A7" s="555" t="s">
        <v>177</v>
      </c>
      <c r="B7" s="684" t="str">
        <f>INDEX(Simulador!AE33:AE37,Simulador!U39)&amp;" 7x5 "&amp;" "&amp;A18</f>
        <v>CREDIRESIDENCIAL 7x5  5 años</v>
      </c>
      <c r="C7" s="684"/>
      <c r="D7" s="685"/>
    </row>
    <row r="8" spans="1:4" ht="15.75" customHeight="1">
      <c r="A8" s="692"/>
      <c r="B8" s="693"/>
      <c r="C8" s="693"/>
      <c r="D8" s="694"/>
    </row>
    <row r="9" spans="1:4" ht="15.75" customHeight="1">
      <c r="A9" s="689" t="s">
        <v>148</v>
      </c>
      <c r="B9" s="690"/>
      <c r="C9" s="690"/>
      <c r="D9" s="691"/>
    </row>
    <row r="10" spans="1:4" ht="13.5">
      <c r="A10" s="556" t="s">
        <v>101</v>
      </c>
      <c r="B10" s="557" t="s">
        <v>150</v>
      </c>
      <c r="C10" s="558" t="s">
        <v>151</v>
      </c>
      <c r="D10" s="557" t="s">
        <v>315</v>
      </c>
    </row>
    <row r="11" spans="1:4" ht="13.5">
      <c r="A11" s="559" t="s">
        <v>149</v>
      </c>
      <c r="B11" s="560" t="s">
        <v>312</v>
      </c>
      <c r="C11" s="561" t="s">
        <v>152</v>
      </c>
      <c r="D11" s="560" t="s">
        <v>316</v>
      </c>
    </row>
    <row r="12" spans="1:4" ht="13.5">
      <c r="A12" s="562">
        <f>Simulador!I40</f>
        <v>0</v>
      </c>
      <c r="B12" s="563">
        <f>VLOOKUP(Simulador!U62,Simulador!$S$63:$V$66,4,0)</f>
        <v>0.085</v>
      </c>
      <c r="C12" s="564">
        <f>_xlfn.IFERROR(IF(Simulador!O25="",Simulador!I25,Simulador!O25),0)</f>
        <v>0</v>
      </c>
      <c r="D12" s="564">
        <f>_xlfn.IFERROR(SUM('Tabla de amortizacion'!Y15:Y254),0)</f>
        <v>0</v>
      </c>
    </row>
    <row r="13" spans="1:4" ht="12">
      <c r="A13" s="565" t="s">
        <v>153</v>
      </c>
      <c r="B13" s="566" t="s">
        <v>268</v>
      </c>
      <c r="C13" s="565"/>
      <c r="D13" s="565" t="s">
        <v>157</v>
      </c>
    </row>
    <row r="14" spans="1:4" ht="12">
      <c r="A14" s="565" t="s">
        <v>154</v>
      </c>
      <c r="B14" s="497"/>
      <c r="C14" s="565"/>
      <c r="D14" s="565" t="s">
        <v>158</v>
      </c>
    </row>
    <row r="15" spans="1:4" s="546" customFormat="1" ht="42" customHeight="1">
      <c r="A15" s="565" t="s">
        <v>155</v>
      </c>
      <c r="B15" s="567">
        <f>IF(Simulador!$U$62=1,"",IF(Simulador!$D$26=0,0,MIN(Simulador!$D$26+Simulador!U75,'Tabla de amortizacion'!AG12)))</f>
      </c>
      <c r="C15" s="565"/>
      <c r="D15" s="565" t="s">
        <v>159</v>
      </c>
    </row>
    <row r="16" spans="1:4" s="546" customFormat="1" ht="39.75" customHeight="1">
      <c r="A16" s="568" t="s">
        <v>156</v>
      </c>
      <c r="B16" s="569">
        <f>IF(Simulador!$U$62=1,"","TIIE + 4.5% (Tasa Variable)")</f>
      </c>
      <c r="C16" s="570"/>
      <c r="D16" s="570"/>
    </row>
    <row r="17" spans="1:4" ht="33" customHeight="1">
      <c r="A17" s="571" t="s">
        <v>160</v>
      </c>
      <c r="B17" s="642" t="s">
        <v>317</v>
      </c>
      <c r="C17" s="643"/>
      <c r="D17" s="644"/>
    </row>
    <row r="18" spans="1:4" ht="33" customHeight="1">
      <c r="A18" s="572" t="str">
        <f>INDEX(Simulador!U63:U66,Simulador!U62)</f>
        <v>5 años</v>
      </c>
      <c r="B18" s="642" t="s">
        <v>318</v>
      </c>
      <c r="C18" s="643"/>
      <c r="D18" s="644"/>
    </row>
    <row r="19" spans="1:4" ht="31.5" customHeight="1">
      <c r="A19" s="657" t="s">
        <v>161</v>
      </c>
      <c r="B19" s="658"/>
      <c r="C19" s="658"/>
      <c r="D19" s="659"/>
    </row>
    <row r="20" spans="1:4" ht="12">
      <c r="A20" s="647" t="str">
        <f>"Apertura: "&amp;TEXT(Simulador!O32,"$###,###.00")</f>
        <v>Apertura: $.00</v>
      </c>
      <c r="B20" s="648"/>
      <c r="C20" s="647" t="s">
        <v>358</v>
      </c>
      <c r="D20" s="648"/>
    </row>
    <row r="21" spans="1:4" ht="12">
      <c r="A21" s="645" t="str">
        <f>"Prepago: "&amp;IF(Simulador!T41=1,"0% ","3% ")&amp;"más IVA sobre el monto anticipado"</f>
        <v>Prepago: 0% más IVA sobre el monto anticipado</v>
      </c>
      <c r="B21" s="646"/>
      <c r="C21" s="669" t="s">
        <v>320</v>
      </c>
      <c r="D21" s="670"/>
    </row>
    <row r="22" spans="1:4" ht="18" customHeight="1">
      <c r="A22" s="674" t="s">
        <v>162</v>
      </c>
      <c r="B22" s="675"/>
      <c r="C22" s="675"/>
      <c r="D22" s="676"/>
    </row>
    <row r="23" spans="1:4" ht="18" customHeight="1">
      <c r="A23" s="678"/>
      <c r="B23" s="679"/>
      <c r="C23" s="679"/>
      <c r="D23" s="680"/>
    </row>
    <row r="24" spans="1:4" ht="18" customHeight="1">
      <c r="A24" s="671" t="s">
        <v>319</v>
      </c>
      <c r="B24" s="672"/>
      <c r="C24" s="672"/>
      <c r="D24" s="673"/>
    </row>
    <row r="25" spans="1:4" ht="18" customHeight="1">
      <c r="A25" s="660" t="s">
        <v>292</v>
      </c>
      <c r="B25" s="661"/>
      <c r="C25" s="661"/>
      <c r="D25" s="662"/>
    </row>
    <row r="26" spans="1:4" ht="12">
      <c r="A26" s="660" t="s">
        <v>293</v>
      </c>
      <c r="B26" s="661"/>
      <c r="C26" s="661"/>
      <c r="D26" s="662"/>
    </row>
    <row r="27" spans="1:4" ht="12">
      <c r="A27" s="663" t="s">
        <v>267</v>
      </c>
      <c r="B27" s="664"/>
      <c r="C27" s="664"/>
      <c r="D27" s="665"/>
    </row>
    <row r="28" spans="1:4" ht="12">
      <c r="A28" s="657" t="s">
        <v>163</v>
      </c>
      <c r="B28" s="658"/>
      <c r="C28" s="658"/>
      <c r="D28" s="659"/>
    </row>
    <row r="29" spans="1:4" ht="15.75" customHeight="1">
      <c r="A29" s="574" t="s">
        <v>164</v>
      </c>
      <c r="B29" s="575" t="s">
        <v>165</v>
      </c>
      <c r="C29" s="576" t="s">
        <v>166</v>
      </c>
      <c r="D29" s="577"/>
    </row>
    <row r="30" spans="1:4" ht="20.25" customHeight="1">
      <c r="A30" s="578"/>
      <c r="B30" s="579"/>
      <c r="C30" s="580"/>
      <c r="D30" s="581"/>
    </row>
    <row r="31" spans="1:4" ht="29.25" customHeight="1">
      <c r="A31" s="582" t="s">
        <v>141</v>
      </c>
      <c r="B31" s="583" t="s">
        <v>336</v>
      </c>
      <c r="C31" s="584" t="s">
        <v>321</v>
      </c>
      <c r="D31" s="581"/>
    </row>
    <row r="32" spans="1:4" ht="29.25" customHeight="1">
      <c r="A32" s="582"/>
      <c r="B32" s="583"/>
      <c r="C32" s="655" t="s">
        <v>328</v>
      </c>
      <c r="D32" s="656"/>
    </row>
    <row r="33" spans="1:4" ht="37.5" customHeight="1">
      <c r="A33" s="582" t="s">
        <v>337</v>
      </c>
      <c r="B33" s="583" t="s">
        <v>338</v>
      </c>
      <c r="C33" s="655"/>
      <c r="D33" s="656"/>
    </row>
    <row r="34" spans="1:4" ht="12.75" customHeight="1">
      <c r="A34" s="582"/>
      <c r="B34" s="583"/>
      <c r="C34" s="655"/>
      <c r="D34" s="656"/>
    </row>
    <row r="35" spans="1:4" ht="12">
      <c r="A35" s="674" t="s">
        <v>167</v>
      </c>
      <c r="B35" s="675"/>
      <c r="C35" s="675"/>
      <c r="D35" s="676"/>
    </row>
    <row r="36" spans="1:4" ht="12">
      <c r="A36" s="686" t="s">
        <v>335</v>
      </c>
      <c r="B36" s="687"/>
      <c r="C36" s="687"/>
      <c r="D36" s="688"/>
    </row>
    <row r="37" spans="1:4" ht="31.5" customHeight="1">
      <c r="A37" s="681" t="s">
        <v>168</v>
      </c>
      <c r="B37" s="682"/>
      <c r="C37" s="682"/>
      <c r="D37" s="683"/>
    </row>
    <row r="38" spans="1:4" ht="12">
      <c r="A38" s="652" t="s">
        <v>169</v>
      </c>
      <c r="B38" s="653"/>
      <c r="C38" s="653"/>
      <c r="D38" s="654"/>
    </row>
    <row r="39" spans="1:4" ht="12">
      <c r="A39" s="652" t="s">
        <v>170</v>
      </c>
      <c r="B39" s="653"/>
      <c r="C39" s="653"/>
      <c r="D39" s="654"/>
    </row>
    <row r="40" spans="1:4" ht="12">
      <c r="A40" s="652" t="s">
        <v>171</v>
      </c>
      <c r="B40" s="653"/>
      <c r="C40" s="653"/>
      <c r="D40" s="654"/>
    </row>
    <row r="41" spans="1:4" ht="21" customHeight="1">
      <c r="A41" s="652" t="s">
        <v>172</v>
      </c>
      <c r="B41" s="653"/>
      <c r="C41" s="653"/>
      <c r="D41" s="654"/>
    </row>
    <row r="42" spans="1:4" ht="21" customHeight="1">
      <c r="A42" s="649" t="s">
        <v>173</v>
      </c>
      <c r="B42" s="650"/>
      <c r="C42" s="650"/>
      <c r="D42" s="651"/>
    </row>
    <row r="43" spans="1:4" ht="21" customHeight="1">
      <c r="A43" s="666" t="str">
        <f>"Registro de Contratos de Adhesión Núm:  "&amp;_xlfn.IFERROR(IF(Simulador!D21="","",VLOOKUP(RECAS!$A$1,RECAS!$A$3:$D$12,4,0)),"Revisa los datos ingresados")</f>
        <v>Registro de Contratos de Adhesión Núm:  </v>
      </c>
      <c r="B43" s="667"/>
      <c r="C43" s="667"/>
      <c r="D43" s="668"/>
    </row>
    <row r="44" spans="1:4" ht="12">
      <c r="A44" s="652" t="s">
        <v>174</v>
      </c>
      <c r="B44" s="653"/>
      <c r="C44" s="653"/>
      <c r="D44" s="654"/>
    </row>
    <row r="45" spans="1:4" ht="12" customHeight="1">
      <c r="A45" s="649" t="s">
        <v>359</v>
      </c>
      <c r="B45" s="650"/>
      <c r="C45" s="650"/>
      <c r="D45" s="651"/>
    </row>
  </sheetData>
  <sheetProtection password="FBFD" sheet="1" objects="1" scenarios="1"/>
  <mergeCells count="31">
    <mergeCell ref="B7:D7"/>
    <mergeCell ref="A36:D36"/>
    <mergeCell ref="A9:D9"/>
    <mergeCell ref="A8:D8"/>
    <mergeCell ref="A20:B20"/>
    <mergeCell ref="C21:D21"/>
    <mergeCell ref="A42:D42"/>
    <mergeCell ref="A24:D24"/>
    <mergeCell ref="A22:D22"/>
    <mergeCell ref="A35:D35"/>
    <mergeCell ref="A2:D2"/>
    <mergeCell ref="A23:D23"/>
    <mergeCell ref="A19:D19"/>
    <mergeCell ref="A37:D37"/>
    <mergeCell ref="A41:D41"/>
    <mergeCell ref="A25:D25"/>
    <mergeCell ref="A27:D27"/>
    <mergeCell ref="A40:D40"/>
    <mergeCell ref="A38:D38"/>
    <mergeCell ref="A26:D26"/>
    <mergeCell ref="A43:D43"/>
    <mergeCell ref="A1:D1"/>
    <mergeCell ref="B17:D17"/>
    <mergeCell ref="B18:D18"/>
    <mergeCell ref="A21:B21"/>
    <mergeCell ref="C20:D20"/>
    <mergeCell ref="A45:D45"/>
    <mergeCell ref="A39:D39"/>
    <mergeCell ref="C32:D34"/>
    <mergeCell ref="A28:D28"/>
    <mergeCell ref="A44:D44"/>
  </mergeCells>
  <printOptions horizontalCentered="1"/>
  <pageMargins left="0.7086614173228347" right="0.7086614173228347" top="0.7480314960629921" bottom="0.7480314960629921" header="0.31496062992125984" footer="0.31496062992125984"/>
  <pageSetup horizontalDpi="600" verticalDpi="600" orientation="portrait" scale="78" r:id="rId3"/>
  <drawing r:id="rId2"/>
  <legacyDrawing r:id="rId1"/>
</worksheet>
</file>

<file path=xl/worksheets/sheet4.xml><?xml version="1.0" encoding="utf-8"?>
<worksheet xmlns="http://schemas.openxmlformats.org/spreadsheetml/2006/main" xmlns:r="http://schemas.openxmlformats.org/officeDocument/2006/relationships">
  <sheetPr codeName="Hoja5"/>
  <dimension ref="A1:H15"/>
  <sheetViews>
    <sheetView showGridLines="0" showRowColHeaders="0" zoomScale="90" zoomScaleNormal="90" zoomScalePageLayoutView="0" workbookViewId="0" topLeftCell="A1">
      <selection activeCell="B1" sqref="B1:E1"/>
    </sheetView>
  </sheetViews>
  <sheetFormatPr defaultColWidth="11.421875" defaultRowHeight="12.75"/>
  <cols>
    <col min="1" max="1" width="8.140625" style="0" customWidth="1"/>
    <col min="2" max="2" width="6.8515625" style="0" customWidth="1"/>
    <col min="3" max="3" width="66.421875" style="0" customWidth="1"/>
    <col min="4" max="4" width="30.421875" style="0" customWidth="1"/>
    <col min="5" max="5" width="13.8515625" style="0" customWidth="1"/>
    <col min="6" max="6" width="4.8515625" style="0" customWidth="1"/>
    <col min="7" max="7" width="5.421875" style="0" customWidth="1"/>
    <col min="8" max="8" width="6.00390625" style="0" customWidth="1"/>
    <col min="9" max="9" width="14.421875" style="0" customWidth="1"/>
  </cols>
  <sheetData>
    <row r="1" spans="1:7" ht="25.5" customHeight="1" thickBot="1">
      <c r="A1" s="250" t="str">
        <f>Simulador!$U$39&amp;"-3-"&amp;IF(OR(Simulador!$D$42&gt;0,Simulador!$D$44&gt;0),2,1)</f>
        <v>1-3-1</v>
      </c>
      <c r="B1" s="695" t="s">
        <v>341</v>
      </c>
      <c r="C1" s="696"/>
      <c r="D1" s="696"/>
      <c r="E1" s="697"/>
      <c r="F1" s="245"/>
      <c r="G1" s="245"/>
    </row>
    <row r="2" spans="1:8" ht="27.75" customHeight="1">
      <c r="A2" s="392" t="s">
        <v>185</v>
      </c>
      <c r="B2" s="246" t="s">
        <v>180</v>
      </c>
      <c r="C2" s="247" t="s">
        <v>181</v>
      </c>
      <c r="D2" s="247" t="s">
        <v>182</v>
      </c>
      <c r="E2" s="248" t="s">
        <v>183</v>
      </c>
      <c r="F2" s="251" t="s">
        <v>187</v>
      </c>
      <c r="G2" s="251" t="s">
        <v>186</v>
      </c>
      <c r="H2" s="251" t="s">
        <v>184</v>
      </c>
    </row>
    <row r="3" spans="1:8" ht="30">
      <c r="A3" s="264" t="str">
        <f aca="true" t="shared" si="0" ref="A3:A11">F3&amp;"-"&amp;G3&amp;"-"&amp;H3</f>
        <v>5-3-1</v>
      </c>
      <c r="B3" s="468">
        <v>31</v>
      </c>
      <c r="C3" s="263" t="s">
        <v>291</v>
      </c>
      <c r="D3" s="263" t="s">
        <v>342</v>
      </c>
      <c r="E3" s="249">
        <v>44725</v>
      </c>
      <c r="F3" s="264">
        <v>5</v>
      </c>
      <c r="G3" s="264">
        <v>3</v>
      </c>
      <c r="H3" s="264">
        <v>1</v>
      </c>
    </row>
    <row r="4" spans="1:8" ht="30">
      <c r="A4" s="264" t="str">
        <f t="shared" si="0"/>
        <v>2-3-1</v>
      </c>
      <c r="B4" s="468">
        <v>32</v>
      </c>
      <c r="C4" s="263" t="s">
        <v>260</v>
      </c>
      <c r="D4" s="263" t="s">
        <v>343</v>
      </c>
      <c r="E4" s="249">
        <v>44725</v>
      </c>
      <c r="F4" s="264">
        <v>2</v>
      </c>
      <c r="G4" s="265">
        <v>3</v>
      </c>
      <c r="H4" s="264">
        <v>1</v>
      </c>
    </row>
    <row r="5" spans="1:8" ht="14.25">
      <c r="A5" s="264" t="str">
        <f t="shared" si="0"/>
        <v>1-3-1</v>
      </c>
      <c r="B5" s="468">
        <v>33</v>
      </c>
      <c r="C5" s="263" t="s">
        <v>261</v>
      </c>
      <c r="D5" s="263" t="s">
        <v>344</v>
      </c>
      <c r="E5" s="249">
        <v>44725</v>
      </c>
      <c r="F5" s="264">
        <v>1</v>
      </c>
      <c r="G5" s="266">
        <v>3</v>
      </c>
      <c r="H5" s="264">
        <v>1</v>
      </c>
    </row>
    <row r="6" spans="1:8" ht="14.25">
      <c r="A6" s="264" t="str">
        <f t="shared" si="0"/>
        <v>3-3-2</v>
      </c>
      <c r="B6" s="468">
        <v>34</v>
      </c>
      <c r="C6" s="263" t="s">
        <v>262</v>
      </c>
      <c r="D6" s="263" t="s">
        <v>345</v>
      </c>
      <c r="E6" s="249">
        <v>44725</v>
      </c>
      <c r="F6" s="267">
        <v>3</v>
      </c>
      <c r="G6" s="268">
        <v>3</v>
      </c>
      <c r="H6" s="268">
        <v>2</v>
      </c>
    </row>
    <row r="7" spans="1:8" ht="14.25">
      <c r="A7" s="264" t="str">
        <f t="shared" si="0"/>
        <v>3-3-1</v>
      </c>
      <c r="B7" s="468">
        <v>35</v>
      </c>
      <c r="C7" s="263" t="s">
        <v>263</v>
      </c>
      <c r="D7" s="263" t="s">
        <v>346</v>
      </c>
      <c r="E7" s="249">
        <v>44725</v>
      </c>
      <c r="F7" s="267">
        <v>3</v>
      </c>
      <c r="G7" s="268">
        <v>3</v>
      </c>
      <c r="H7" s="268">
        <v>1</v>
      </c>
    </row>
    <row r="8" spans="1:8" ht="14.25">
      <c r="A8" s="264" t="str">
        <f t="shared" si="0"/>
        <v>4-3-1</v>
      </c>
      <c r="B8" s="468">
        <v>36</v>
      </c>
      <c r="C8" s="263" t="s">
        <v>264</v>
      </c>
      <c r="D8" s="263" t="s">
        <v>347</v>
      </c>
      <c r="E8" s="249">
        <v>44725</v>
      </c>
      <c r="F8" s="264">
        <v>4</v>
      </c>
      <c r="G8" s="264">
        <v>3</v>
      </c>
      <c r="H8" s="264">
        <v>1</v>
      </c>
    </row>
    <row r="9" spans="1:6" ht="14.25">
      <c r="A9" s="409" t="str">
        <f t="shared" si="0"/>
        <v>--</v>
      </c>
      <c r="B9" s="468">
        <v>23</v>
      </c>
      <c r="C9" s="263" t="s">
        <v>297</v>
      </c>
      <c r="D9" s="263" t="s">
        <v>348</v>
      </c>
      <c r="E9" s="249">
        <v>44725</v>
      </c>
      <c r="F9" s="264"/>
    </row>
    <row r="10" spans="1:5" ht="14.25">
      <c r="A10" s="409" t="str">
        <f t="shared" si="0"/>
        <v>--</v>
      </c>
      <c r="B10" s="468">
        <v>24</v>
      </c>
      <c r="C10" s="263" t="s">
        <v>298</v>
      </c>
      <c r="D10" s="263" t="s">
        <v>349</v>
      </c>
      <c r="E10" s="249">
        <v>44725</v>
      </c>
    </row>
    <row r="11" spans="1:8" ht="14.25">
      <c r="A11" s="409" t="str">
        <f t="shared" si="0"/>
        <v>--</v>
      </c>
      <c r="B11" s="586">
        <v>40</v>
      </c>
      <c r="C11" s="587" t="s">
        <v>295</v>
      </c>
      <c r="D11" s="263" t="s">
        <v>350</v>
      </c>
      <c r="E11" s="249">
        <v>44725</v>
      </c>
      <c r="F11" s="264"/>
      <c r="G11" s="264"/>
      <c r="H11" s="264"/>
    </row>
    <row r="12" spans="1:8" s="149" customFormat="1" ht="14.25">
      <c r="A12" s="265"/>
      <c r="B12" s="588"/>
      <c r="C12" s="589"/>
      <c r="D12" s="589"/>
      <c r="E12" s="590"/>
      <c r="F12" s="265"/>
      <c r="G12" s="265"/>
      <c r="H12" s="265"/>
    </row>
    <row r="13" spans="1:6" s="149" customFormat="1" ht="14.25">
      <c r="A13" s="591"/>
      <c r="B13" s="588"/>
      <c r="C13" s="589"/>
      <c r="D13" s="589"/>
      <c r="E13" s="590"/>
      <c r="F13" s="265"/>
    </row>
    <row r="14" spans="1:5" s="149" customFormat="1" ht="14.25">
      <c r="A14" s="591"/>
      <c r="B14" s="588"/>
      <c r="C14" s="589"/>
      <c r="D14" s="589"/>
      <c r="E14" s="590"/>
    </row>
    <row r="15" spans="1:8" s="149" customFormat="1" ht="14.25">
      <c r="A15" s="591"/>
      <c r="B15" s="588"/>
      <c r="C15" s="589"/>
      <c r="D15" s="589"/>
      <c r="E15" s="590"/>
      <c r="F15" s="265"/>
      <c r="G15" s="265"/>
      <c r="H15" s="265"/>
    </row>
  </sheetData>
  <sheetProtection password="FBFD" sheet="1" objects="1" scenarios="1"/>
  <mergeCells count="1">
    <mergeCell ref="B1:E1"/>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Hoja1"/>
  <dimension ref="A1:W68"/>
  <sheetViews>
    <sheetView zoomScalePageLayoutView="0" workbookViewId="0" topLeftCell="A1">
      <selection activeCell="A1" sqref="A1"/>
    </sheetView>
  </sheetViews>
  <sheetFormatPr defaultColWidth="11.421875" defaultRowHeight="12.75"/>
  <cols>
    <col min="2" max="2" width="26.00390625" style="0" customWidth="1"/>
    <col min="8" max="8" width="18.140625" style="0" customWidth="1"/>
    <col min="9" max="9" width="22.57421875" style="0" customWidth="1"/>
    <col min="10" max="10" width="18.57421875" style="0" customWidth="1"/>
    <col min="13" max="17" width="13.8515625" style="0" customWidth="1"/>
    <col min="19" max="19" width="15.140625" style="0" customWidth="1"/>
    <col min="20" max="20" width="13.421875" style="0" customWidth="1"/>
    <col min="21" max="21" width="12.421875" style="0" customWidth="1"/>
    <col min="22" max="23" width="12.57421875" style="0" customWidth="1"/>
  </cols>
  <sheetData>
    <row r="1" spans="3:23" ht="25.5">
      <c r="C1" s="738" t="s">
        <v>188</v>
      </c>
      <c r="D1" s="738"/>
      <c r="E1" s="738"/>
      <c r="F1" s="738"/>
      <c r="G1" s="738"/>
      <c r="H1" s="738"/>
      <c r="I1" s="738"/>
      <c r="J1" s="738"/>
      <c r="M1" s="743" t="s">
        <v>204</v>
      </c>
      <c r="N1" s="743"/>
      <c r="O1" s="743"/>
      <c r="P1" s="743"/>
      <c r="Q1" s="743"/>
      <c r="S1" s="344" t="s">
        <v>235</v>
      </c>
      <c r="T1" s="345">
        <v>5</v>
      </c>
      <c r="U1" s="345">
        <v>10</v>
      </c>
      <c r="V1" s="345">
        <v>15</v>
      </c>
      <c r="W1" s="345">
        <v>20</v>
      </c>
    </row>
    <row r="2" spans="3:23" ht="25.5">
      <c r="C2" s="739"/>
      <c r="D2" s="739"/>
      <c r="E2" s="739"/>
      <c r="F2" s="739"/>
      <c r="G2" s="739"/>
      <c r="H2" s="739"/>
      <c r="I2" s="739"/>
      <c r="J2" s="739"/>
      <c r="M2" s="744"/>
      <c r="N2" s="744"/>
      <c r="O2" s="744"/>
      <c r="P2" s="744"/>
      <c r="Q2" s="744"/>
      <c r="S2" s="344" t="s">
        <v>236</v>
      </c>
      <c r="T2" s="346">
        <v>0.073</v>
      </c>
      <c r="U2" s="346">
        <v>0.0775</v>
      </c>
      <c r="V2" s="346">
        <v>0.078</v>
      </c>
      <c r="W2" s="346">
        <v>0.0785</v>
      </c>
    </row>
    <row r="3" spans="3:23" ht="24.75" customHeight="1">
      <c r="C3" s="735" t="s">
        <v>189</v>
      </c>
      <c r="D3" s="732" t="s">
        <v>190</v>
      </c>
      <c r="E3" s="733"/>
      <c r="F3" s="733"/>
      <c r="G3" s="733"/>
      <c r="H3" s="733"/>
      <c r="I3" s="733"/>
      <c r="J3" s="734"/>
      <c r="M3" s="745" t="s">
        <v>205</v>
      </c>
      <c r="N3" s="745"/>
      <c r="O3" s="745"/>
      <c r="P3" s="745"/>
      <c r="Q3" s="745"/>
      <c r="S3" s="344" t="s">
        <v>237</v>
      </c>
      <c r="T3" s="347">
        <v>20.23</v>
      </c>
      <c r="U3" s="347">
        <v>8.3</v>
      </c>
      <c r="V3" s="347">
        <v>8.3</v>
      </c>
      <c r="W3" s="347">
        <v>8.3</v>
      </c>
    </row>
    <row r="4" spans="3:23" ht="12.75">
      <c r="C4" s="736"/>
      <c r="D4" s="732" t="s">
        <v>191</v>
      </c>
      <c r="E4" s="733"/>
      <c r="F4" s="733"/>
      <c r="G4" s="734"/>
      <c r="H4" s="735" t="s">
        <v>192</v>
      </c>
      <c r="I4" s="735" t="s">
        <v>193</v>
      </c>
      <c r="J4" s="735" t="s">
        <v>194</v>
      </c>
      <c r="M4" s="262"/>
      <c r="N4" s="732" t="s">
        <v>206</v>
      </c>
      <c r="O4" s="733"/>
      <c r="P4" s="733"/>
      <c r="Q4" s="734"/>
      <c r="S4" s="344" t="s">
        <v>101</v>
      </c>
      <c r="T4" s="348">
        <v>0.09646263410227918</v>
      </c>
      <c r="U4" s="348">
        <v>0.10555092664671206</v>
      </c>
      <c r="V4" s="348">
        <v>0.11006679751714032</v>
      </c>
      <c r="W4" s="348">
        <v>0.1126258651403893</v>
      </c>
    </row>
    <row r="5" spans="3:23" ht="12.75">
      <c r="C5" s="736"/>
      <c r="D5" s="258" t="s">
        <v>195</v>
      </c>
      <c r="E5" s="258" t="s">
        <v>195</v>
      </c>
      <c r="F5" s="735" t="s">
        <v>198</v>
      </c>
      <c r="G5" s="258" t="s">
        <v>199</v>
      </c>
      <c r="H5" s="736"/>
      <c r="I5" s="736"/>
      <c r="J5" s="736"/>
      <c r="M5" s="335"/>
      <c r="N5" s="746" t="s">
        <v>207</v>
      </c>
      <c r="O5" s="747"/>
      <c r="P5" s="746" t="s">
        <v>208</v>
      </c>
      <c r="Q5" s="747"/>
      <c r="S5" s="344" t="s">
        <v>238</v>
      </c>
      <c r="T5" s="345" t="s">
        <v>239</v>
      </c>
      <c r="U5" s="345" t="s">
        <v>239</v>
      </c>
      <c r="V5" s="345" t="s">
        <v>239</v>
      </c>
      <c r="W5" s="345" t="s">
        <v>239</v>
      </c>
    </row>
    <row r="6" spans="3:23" ht="36" customHeight="1">
      <c r="C6" s="737"/>
      <c r="D6" s="259" t="s">
        <v>196</v>
      </c>
      <c r="E6" s="259" t="s">
        <v>197</v>
      </c>
      <c r="F6" s="737"/>
      <c r="G6" s="259" t="s">
        <v>200</v>
      </c>
      <c r="H6" s="737"/>
      <c r="I6" s="737"/>
      <c r="J6" s="737"/>
      <c r="M6" s="336" t="s">
        <v>209</v>
      </c>
      <c r="N6" s="336" t="s">
        <v>210</v>
      </c>
      <c r="O6" s="336" t="s">
        <v>211</v>
      </c>
      <c r="P6" s="336" t="s">
        <v>210</v>
      </c>
      <c r="Q6" s="336" t="s">
        <v>211</v>
      </c>
      <c r="S6" s="344" t="s">
        <v>240</v>
      </c>
      <c r="T6" s="345" t="s">
        <v>241</v>
      </c>
      <c r="U6" s="345" t="s">
        <v>242</v>
      </c>
      <c r="V6" s="345" t="s">
        <v>242</v>
      </c>
      <c r="W6" s="345" t="s">
        <v>242</v>
      </c>
    </row>
    <row r="7" spans="3:23" ht="12.75">
      <c r="C7" s="260">
        <v>1</v>
      </c>
      <c r="D7" s="261">
        <v>0.95</v>
      </c>
      <c r="E7" s="261">
        <v>0.9</v>
      </c>
      <c r="F7" s="261">
        <v>0.85</v>
      </c>
      <c r="G7" s="261">
        <v>0.65</v>
      </c>
      <c r="H7" s="740" t="s">
        <v>201</v>
      </c>
      <c r="I7" s="740" t="s">
        <v>202</v>
      </c>
      <c r="J7" s="740" t="s">
        <v>203</v>
      </c>
      <c r="M7" s="336">
        <v>1</v>
      </c>
      <c r="N7" s="726">
        <v>0.65</v>
      </c>
      <c r="O7" s="726">
        <v>0.65</v>
      </c>
      <c r="P7" s="729">
        <v>0.55</v>
      </c>
      <c r="Q7" s="726">
        <v>0.5</v>
      </c>
      <c r="S7" s="698" t="s">
        <v>243</v>
      </c>
      <c r="T7" s="699"/>
      <c r="U7" s="699"/>
      <c r="V7" s="699"/>
      <c r="W7" s="700"/>
    </row>
    <row r="8" spans="3:23" ht="12.75">
      <c r="C8" s="260">
        <v>2</v>
      </c>
      <c r="D8" s="261">
        <v>0.95</v>
      </c>
      <c r="E8" s="261">
        <v>0.9</v>
      </c>
      <c r="F8" s="261">
        <v>0.85</v>
      </c>
      <c r="G8" s="261">
        <v>0.65</v>
      </c>
      <c r="H8" s="741"/>
      <c r="I8" s="741"/>
      <c r="J8" s="741"/>
      <c r="M8" s="336">
        <v>2</v>
      </c>
      <c r="N8" s="727"/>
      <c r="O8" s="727"/>
      <c r="P8" s="730"/>
      <c r="Q8" s="727"/>
      <c r="S8" s="349" t="s">
        <v>244</v>
      </c>
      <c r="T8" s="350">
        <v>-1.637090463191271E-16</v>
      </c>
      <c r="U8" s="350">
        <v>0.5953806160844269</v>
      </c>
      <c r="V8" s="350">
        <v>0.7849966811063145</v>
      </c>
      <c r="W8" s="350">
        <v>0.8734084214616193</v>
      </c>
    </row>
    <row r="9" spans="3:23" ht="12.75">
      <c r="C9" s="260">
        <v>3</v>
      </c>
      <c r="D9" s="261">
        <v>0.95</v>
      </c>
      <c r="E9" s="261">
        <v>0.85</v>
      </c>
      <c r="F9" s="261">
        <v>0.8</v>
      </c>
      <c r="G9" s="261">
        <v>0.5</v>
      </c>
      <c r="H9" s="741"/>
      <c r="I9" s="741"/>
      <c r="J9" s="741"/>
      <c r="M9" s="336">
        <v>3</v>
      </c>
      <c r="N9" s="727"/>
      <c r="O9" s="727"/>
      <c r="P9" s="730"/>
      <c r="Q9" s="727"/>
      <c r="S9" s="349" t="s">
        <v>245</v>
      </c>
      <c r="T9" s="350" t="s">
        <v>226</v>
      </c>
      <c r="U9" s="350">
        <v>-4.347384674474597E-16</v>
      </c>
      <c r="V9" s="350">
        <v>0.49995107180906884</v>
      </c>
      <c r="W9" s="350">
        <v>0.7236012238720773</v>
      </c>
    </row>
    <row r="10" spans="3:23" ht="12.75">
      <c r="C10" s="260">
        <v>4</v>
      </c>
      <c r="D10" s="261">
        <v>0.8</v>
      </c>
      <c r="E10" s="261">
        <v>0.8</v>
      </c>
      <c r="F10" s="261">
        <v>0.75</v>
      </c>
      <c r="G10" s="261">
        <v>0.5</v>
      </c>
      <c r="H10" s="741"/>
      <c r="I10" s="741"/>
      <c r="J10" s="741"/>
      <c r="M10" s="336">
        <v>4</v>
      </c>
      <c r="N10" s="728"/>
      <c r="O10" s="727"/>
      <c r="P10" s="731"/>
      <c r="Q10" s="727"/>
      <c r="S10" s="349" t="s">
        <v>246</v>
      </c>
      <c r="T10" s="350" t="s">
        <v>226</v>
      </c>
      <c r="U10" s="350" t="s">
        <v>226</v>
      </c>
      <c r="V10" s="350">
        <v>-4.838511813431978E-16</v>
      </c>
      <c r="W10" s="350">
        <v>0.4608493464295353</v>
      </c>
    </row>
    <row r="11" spans="3:23" ht="12.75">
      <c r="C11" s="260">
        <v>5</v>
      </c>
      <c r="D11" s="261">
        <v>0.8</v>
      </c>
      <c r="E11" s="261">
        <v>0.7</v>
      </c>
      <c r="F11" s="261">
        <v>0.5</v>
      </c>
      <c r="G11" s="261">
        <v>0.5</v>
      </c>
      <c r="H11" s="742"/>
      <c r="I11" s="742"/>
      <c r="J11" s="742"/>
      <c r="M11" s="336">
        <v>5</v>
      </c>
      <c r="N11" s="337">
        <v>0.5</v>
      </c>
      <c r="O11" s="728"/>
      <c r="P11" s="338">
        <v>0.5</v>
      </c>
      <c r="Q11" s="728"/>
      <c r="S11" s="349" t="s">
        <v>247</v>
      </c>
      <c r="T11" s="350" t="s">
        <v>226</v>
      </c>
      <c r="U11" s="350" t="s">
        <v>226</v>
      </c>
      <c r="V11" s="350" t="s">
        <v>226</v>
      </c>
      <c r="W11" s="350">
        <v>7.275957614183426E-18</v>
      </c>
    </row>
    <row r="19" ht="39">
      <c r="C19" s="454" t="s">
        <v>276</v>
      </c>
    </row>
    <row r="20" spans="3:9" ht="12">
      <c r="C20" s="469"/>
      <c r="D20" s="469"/>
      <c r="E20" s="469"/>
      <c r="F20" s="469"/>
      <c r="G20" s="469"/>
      <c r="H20" s="469"/>
      <c r="I20" s="476"/>
    </row>
    <row r="21" spans="3:9" ht="12.75">
      <c r="C21" s="705"/>
      <c r="D21" s="708" t="s">
        <v>277</v>
      </c>
      <c r="E21" s="709"/>
      <c r="F21" s="709"/>
      <c r="G21" s="710"/>
      <c r="H21" s="472" t="s">
        <v>284</v>
      </c>
      <c r="I21" s="477" t="s">
        <v>106</v>
      </c>
    </row>
    <row r="22" spans="3:9" ht="12.75" customHeight="1">
      <c r="C22" s="706"/>
      <c r="D22" s="711"/>
      <c r="E22" s="712"/>
      <c r="F22" s="712"/>
      <c r="G22" s="713"/>
      <c r="H22" s="473" t="s">
        <v>216</v>
      </c>
      <c r="I22" s="478" t="s">
        <v>285</v>
      </c>
    </row>
    <row r="23" spans="3:9" ht="12.75" customHeight="1">
      <c r="C23" s="706"/>
      <c r="D23" s="714" t="s">
        <v>278</v>
      </c>
      <c r="E23" s="715"/>
      <c r="F23" s="715"/>
      <c r="G23" s="716"/>
      <c r="H23" s="470"/>
      <c r="I23" s="478" t="s">
        <v>286</v>
      </c>
    </row>
    <row r="24" spans="3:9" ht="12.75">
      <c r="C24" s="706"/>
      <c r="D24" s="714" t="s">
        <v>279</v>
      </c>
      <c r="E24" s="715"/>
      <c r="F24" s="715"/>
      <c r="G24" s="716"/>
      <c r="H24" s="470"/>
      <c r="I24" s="478" t="s">
        <v>287</v>
      </c>
    </row>
    <row r="25" spans="3:9" ht="12.75">
      <c r="C25" s="706"/>
      <c r="D25" s="714" t="s">
        <v>280</v>
      </c>
      <c r="E25" s="715"/>
      <c r="F25" s="715"/>
      <c r="G25" s="716"/>
      <c r="H25" s="470"/>
      <c r="I25" s="479"/>
    </row>
    <row r="26" spans="3:9" ht="12.75">
      <c r="C26" s="707"/>
      <c r="D26" s="723" t="s">
        <v>281</v>
      </c>
      <c r="E26" s="724"/>
      <c r="F26" s="724"/>
      <c r="G26" s="725"/>
      <c r="H26" s="471"/>
      <c r="I26" s="480"/>
    </row>
    <row r="27" spans="3:9" ht="12.75">
      <c r="C27" s="451" t="s">
        <v>282</v>
      </c>
      <c r="D27" s="717">
        <v>7500</v>
      </c>
      <c r="E27" s="718"/>
      <c r="F27" s="718"/>
      <c r="G27" s="719"/>
      <c r="H27" s="474">
        <v>10000</v>
      </c>
      <c r="I27" s="481">
        <v>20000</v>
      </c>
    </row>
    <row r="28" spans="3:9" ht="12.75">
      <c r="C28" s="452" t="s">
        <v>283</v>
      </c>
      <c r="D28" s="720"/>
      <c r="E28" s="721"/>
      <c r="F28" s="721"/>
      <c r="G28" s="722"/>
      <c r="H28" s="475"/>
      <c r="I28" s="482"/>
    </row>
    <row r="32" spans="1:2" ht="12.75">
      <c r="A32" s="701" t="s">
        <v>212</v>
      </c>
      <c r="B32" s="701"/>
    </row>
    <row r="33" spans="1:2" ht="12">
      <c r="A33" s="339" t="s">
        <v>58</v>
      </c>
      <c r="B33" s="339" t="s">
        <v>213</v>
      </c>
    </row>
    <row r="34" spans="1:2" ht="31.5">
      <c r="A34" s="336" t="s">
        <v>214</v>
      </c>
      <c r="B34" s="335" t="s">
        <v>228</v>
      </c>
    </row>
    <row r="35" spans="1:2" ht="51.75">
      <c r="A35" s="336" t="s">
        <v>215</v>
      </c>
      <c r="B35" s="335" t="s">
        <v>229</v>
      </c>
    </row>
    <row r="36" spans="1:7" ht="31.5">
      <c r="A36" s="336" t="s">
        <v>216</v>
      </c>
      <c r="B36" s="335" t="s">
        <v>230</v>
      </c>
      <c r="G36" s="392" t="s">
        <v>294</v>
      </c>
    </row>
    <row r="37" spans="1:2" ht="21">
      <c r="A37" s="336" t="s">
        <v>106</v>
      </c>
      <c r="B37" s="335" t="s">
        <v>231</v>
      </c>
    </row>
    <row r="38" spans="1:2" ht="30">
      <c r="A38" s="336" t="s">
        <v>217</v>
      </c>
      <c r="B38" s="340" t="s">
        <v>232</v>
      </c>
    </row>
    <row r="39" spans="1:2" ht="20.25">
      <c r="A39" s="702" t="s">
        <v>218</v>
      </c>
      <c r="B39" s="341" t="s">
        <v>233</v>
      </c>
    </row>
    <row r="40" spans="1:2" ht="12">
      <c r="A40" s="703"/>
      <c r="B40" s="342"/>
    </row>
    <row r="41" spans="1:2" ht="50.25">
      <c r="A41" s="704"/>
      <c r="B41" s="343" t="s">
        <v>234</v>
      </c>
    </row>
    <row r="46" spans="3:7" ht="21" customHeight="1">
      <c r="C46" s="748" t="s">
        <v>299</v>
      </c>
      <c r="D46" s="748"/>
      <c r="E46" s="748"/>
      <c r="F46" s="748"/>
      <c r="G46" s="748"/>
    </row>
    <row r="47" spans="3:7" ht="15.75" customHeight="1">
      <c r="C47" s="749" t="s">
        <v>300</v>
      </c>
      <c r="D47" s="749"/>
      <c r="E47" s="749"/>
      <c r="F47" s="749"/>
      <c r="G47" s="749"/>
    </row>
    <row r="48" spans="3:7" ht="31.5" customHeight="1">
      <c r="C48" s="750" t="s">
        <v>189</v>
      </c>
      <c r="D48" s="753" t="s">
        <v>210</v>
      </c>
      <c r="E48" s="754"/>
      <c r="F48" s="753" t="s">
        <v>302</v>
      </c>
      <c r="G48" s="754"/>
    </row>
    <row r="49" spans="3:7" ht="31.5" customHeight="1">
      <c r="C49" s="751"/>
      <c r="D49" s="755" t="s">
        <v>301</v>
      </c>
      <c r="E49" s="756"/>
      <c r="F49" s="757"/>
      <c r="G49" s="758"/>
    </row>
    <row r="50" spans="3:7" ht="15">
      <c r="C50" s="752"/>
      <c r="D50" s="531" t="s">
        <v>303</v>
      </c>
      <c r="E50" s="532" t="s">
        <v>304</v>
      </c>
      <c r="F50" s="531" t="s">
        <v>303</v>
      </c>
      <c r="G50" s="532" t="s">
        <v>304</v>
      </c>
    </row>
    <row r="51" spans="3:7" ht="15">
      <c r="C51" s="533">
        <v>1</v>
      </c>
      <c r="D51" s="534">
        <v>0.5</v>
      </c>
      <c r="E51" s="535">
        <v>0.55</v>
      </c>
      <c r="F51" s="534">
        <v>0.35</v>
      </c>
      <c r="G51" s="759">
        <v>0.35</v>
      </c>
    </row>
    <row r="52" spans="3:7" ht="15">
      <c r="C52" s="533">
        <v>2</v>
      </c>
      <c r="D52" s="761">
        <v>0.45</v>
      </c>
      <c r="E52" s="759">
        <v>0.5</v>
      </c>
      <c r="F52" s="761">
        <v>0.32</v>
      </c>
      <c r="G52" s="760"/>
    </row>
    <row r="53" spans="3:7" ht="15">
      <c r="C53" s="533">
        <v>3</v>
      </c>
      <c r="D53" s="762"/>
      <c r="E53" s="760"/>
      <c r="F53" s="763"/>
      <c r="G53" s="534">
        <v>0.32</v>
      </c>
    </row>
    <row r="54" spans="3:7" ht="15">
      <c r="C54" s="533">
        <v>4</v>
      </c>
      <c r="D54" s="761">
        <v>0.38</v>
      </c>
      <c r="E54" s="759">
        <v>0.4</v>
      </c>
      <c r="F54" s="762"/>
      <c r="G54" s="759">
        <v>0.3</v>
      </c>
    </row>
    <row r="55" spans="3:7" ht="15">
      <c r="C55" s="533">
        <v>5</v>
      </c>
      <c r="D55" s="762"/>
      <c r="E55" s="760"/>
      <c r="F55" s="534">
        <v>0.3</v>
      </c>
      <c r="G55" s="760"/>
    </row>
    <row r="59" spans="3:13" ht="21" customHeight="1">
      <c r="C59" s="764" t="s">
        <v>116</v>
      </c>
      <c r="D59" s="764"/>
      <c r="E59" s="764"/>
      <c r="F59" s="764"/>
      <c r="G59" s="764"/>
      <c r="H59" s="764"/>
      <c r="I59" s="764"/>
      <c r="J59" s="764"/>
      <c r="K59" s="764"/>
      <c r="L59" s="764"/>
      <c r="M59" s="764"/>
    </row>
    <row r="60" spans="3:13" ht="15.75" customHeight="1">
      <c r="C60" s="750" t="s">
        <v>189</v>
      </c>
      <c r="D60" s="765" t="s">
        <v>305</v>
      </c>
      <c r="E60" s="766"/>
      <c r="F60" s="766"/>
      <c r="G60" s="766"/>
      <c r="H60" s="766"/>
      <c r="I60" s="766"/>
      <c r="J60" s="766"/>
      <c r="K60" s="767"/>
      <c r="L60" s="765" t="s">
        <v>306</v>
      </c>
      <c r="M60" s="767"/>
    </row>
    <row r="61" spans="3:13" ht="17.25" customHeight="1">
      <c r="C61" s="751"/>
      <c r="D61" s="768" t="s">
        <v>210</v>
      </c>
      <c r="E61" s="769"/>
      <c r="F61" s="768" t="s">
        <v>265</v>
      </c>
      <c r="G61" s="769"/>
      <c r="H61" s="768" t="s">
        <v>296</v>
      </c>
      <c r="I61" s="769"/>
      <c r="J61" s="768" t="s">
        <v>307</v>
      </c>
      <c r="K61" s="769"/>
      <c r="L61" s="768" t="s">
        <v>308</v>
      </c>
      <c r="M61" s="769"/>
    </row>
    <row r="62" spans="3:13" ht="15" customHeight="1">
      <c r="C62" s="751"/>
      <c r="D62" s="770" t="s">
        <v>301</v>
      </c>
      <c r="E62" s="771"/>
      <c r="F62" s="772"/>
      <c r="G62" s="773"/>
      <c r="H62" s="772"/>
      <c r="I62" s="773"/>
      <c r="J62" s="772"/>
      <c r="K62" s="773"/>
      <c r="L62" s="770" t="s">
        <v>309</v>
      </c>
      <c r="M62" s="771"/>
    </row>
    <row r="63" spans="3:13" ht="28.5">
      <c r="C63" s="752"/>
      <c r="D63" s="536" t="s">
        <v>303</v>
      </c>
      <c r="E63" s="537" t="s">
        <v>304</v>
      </c>
      <c r="F63" s="537" t="s">
        <v>310</v>
      </c>
      <c r="G63" s="537" t="s">
        <v>198</v>
      </c>
      <c r="H63" s="536" t="s">
        <v>303</v>
      </c>
      <c r="I63" s="537" t="s">
        <v>304</v>
      </c>
      <c r="J63" s="536" t="s">
        <v>311</v>
      </c>
      <c r="K63" s="537" t="s">
        <v>304</v>
      </c>
      <c r="L63" s="536" t="s">
        <v>311</v>
      </c>
      <c r="M63" s="537" t="s">
        <v>304</v>
      </c>
    </row>
    <row r="64" spans="3:13" ht="15">
      <c r="C64" s="533">
        <v>1</v>
      </c>
      <c r="D64" s="538">
        <v>0.4</v>
      </c>
      <c r="E64" s="539">
        <v>0.55</v>
      </c>
      <c r="F64" s="774">
        <v>0.65</v>
      </c>
      <c r="G64" s="539">
        <v>0.6</v>
      </c>
      <c r="H64" s="777">
        <v>0.2</v>
      </c>
      <c r="I64" s="539">
        <v>0.35</v>
      </c>
      <c r="J64" s="777">
        <v>0.25</v>
      </c>
      <c r="K64" s="774">
        <v>0.35</v>
      </c>
      <c r="L64" s="780">
        <v>0.4</v>
      </c>
      <c r="M64" s="774">
        <v>0.45</v>
      </c>
    </row>
    <row r="65" spans="3:13" ht="15">
      <c r="C65" s="533">
        <v>2</v>
      </c>
      <c r="D65" s="780">
        <v>0.35</v>
      </c>
      <c r="E65" s="774">
        <v>0.5</v>
      </c>
      <c r="F65" s="775"/>
      <c r="G65" s="774">
        <v>0.55</v>
      </c>
      <c r="H65" s="778"/>
      <c r="I65" s="774">
        <v>0.32</v>
      </c>
      <c r="J65" s="778"/>
      <c r="K65" s="776"/>
      <c r="L65" s="781"/>
      <c r="M65" s="775"/>
    </row>
    <row r="66" spans="3:13" ht="15">
      <c r="C66" s="533">
        <v>3</v>
      </c>
      <c r="D66" s="782"/>
      <c r="E66" s="776"/>
      <c r="F66" s="776"/>
      <c r="G66" s="776"/>
      <c r="H66" s="778"/>
      <c r="I66" s="776"/>
      <c r="J66" s="778"/>
      <c r="K66" s="539">
        <v>0.32</v>
      </c>
      <c r="L66" s="782"/>
      <c r="M66" s="776"/>
    </row>
    <row r="67" spans="3:13" ht="15">
      <c r="C67" s="533">
        <v>4</v>
      </c>
      <c r="D67" s="777">
        <v>0.3</v>
      </c>
      <c r="E67" s="774">
        <v>0.4</v>
      </c>
      <c r="F67" s="774">
        <v>0.38</v>
      </c>
      <c r="G67" s="774">
        <v>0.38</v>
      </c>
      <c r="H67" s="778"/>
      <c r="I67" s="774">
        <v>0.3</v>
      </c>
      <c r="J67" s="778"/>
      <c r="K67" s="774">
        <v>0.3</v>
      </c>
      <c r="L67" s="783" t="s">
        <v>226</v>
      </c>
      <c r="M67" s="783" t="s">
        <v>226</v>
      </c>
    </row>
    <row r="68" spans="3:13" ht="15">
      <c r="C68" s="533">
        <v>5</v>
      </c>
      <c r="D68" s="779"/>
      <c r="E68" s="776"/>
      <c r="F68" s="776"/>
      <c r="G68" s="776"/>
      <c r="H68" s="779"/>
      <c r="I68" s="776"/>
      <c r="J68" s="779"/>
      <c r="K68" s="776"/>
      <c r="L68" s="784"/>
      <c r="M68" s="784"/>
    </row>
  </sheetData>
  <sheetProtection password="FBFD" sheet="1" objects="1" scenarios="1"/>
  <mergeCells count="75">
    <mergeCell ref="D65:D66"/>
    <mergeCell ref="E65:E66"/>
    <mergeCell ref="G65:G66"/>
    <mergeCell ref="I65:I66"/>
    <mergeCell ref="D67:D68"/>
    <mergeCell ref="E67:E68"/>
    <mergeCell ref="F67:F68"/>
    <mergeCell ref="G67:G68"/>
    <mergeCell ref="I67:I68"/>
    <mergeCell ref="L62:M62"/>
    <mergeCell ref="F64:F66"/>
    <mergeCell ref="H64:H68"/>
    <mergeCell ref="J64:J68"/>
    <mergeCell ref="K64:K65"/>
    <mergeCell ref="L64:L66"/>
    <mergeCell ref="M64:M66"/>
    <mergeCell ref="K67:K68"/>
    <mergeCell ref="L67:L68"/>
    <mergeCell ref="M67:M68"/>
    <mergeCell ref="C59:M59"/>
    <mergeCell ref="C60:C63"/>
    <mergeCell ref="D60:K60"/>
    <mergeCell ref="L60:M60"/>
    <mergeCell ref="D61:E61"/>
    <mergeCell ref="D62:E62"/>
    <mergeCell ref="F61:G62"/>
    <mergeCell ref="H61:I62"/>
    <mergeCell ref="J61:K62"/>
    <mergeCell ref="L61:M61"/>
    <mergeCell ref="G51:G52"/>
    <mergeCell ref="D52:D53"/>
    <mergeCell ref="E52:E53"/>
    <mergeCell ref="F52:F54"/>
    <mergeCell ref="D54:D55"/>
    <mergeCell ref="E54:E55"/>
    <mergeCell ref="G54:G55"/>
    <mergeCell ref="C46:G46"/>
    <mergeCell ref="C47:G47"/>
    <mergeCell ref="C48:C50"/>
    <mergeCell ref="D48:E48"/>
    <mergeCell ref="D49:E49"/>
    <mergeCell ref="F48:G49"/>
    <mergeCell ref="M1:Q1"/>
    <mergeCell ref="M2:Q2"/>
    <mergeCell ref="M3:Q3"/>
    <mergeCell ref="N5:O5"/>
    <mergeCell ref="P5:Q5"/>
    <mergeCell ref="N4:Q4"/>
    <mergeCell ref="C1:J1"/>
    <mergeCell ref="C2:J2"/>
    <mergeCell ref="C3:C6"/>
    <mergeCell ref="H7:H11"/>
    <mergeCell ref="I7:I11"/>
    <mergeCell ref="J7:J11"/>
    <mergeCell ref="D4:G4"/>
    <mergeCell ref="H4:H6"/>
    <mergeCell ref="F5:F6"/>
    <mergeCell ref="I4:I6"/>
    <mergeCell ref="D26:G26"/>
    <mergeCell ref="N7:N10"/>
    <mergeCell ref="O7:O11"/>
    <mergeCell ref="P7:P10"/>
    <mergeCell ref="Q7:Q11"/>
    <mergeCell ref="D3:J3"/>
    <mergeCell ref="J4:J6"/>
    <mergeCell ref="S7:W7"/>
    <mergeCell ref="A32:B32"/>
    <mergeCell ref="A39:A41"/>
    <mergeCell ref="C21:C26"/>
    <mergeCell ref="D21:G21"/>
    <mergeCell ref="D22:G22"/>
    <mergeCell ref="D23:G23"/>
    <mergeCell ref="D24:G24"/>
    <mergeCell ref="D27:G28"/>
    <mergeCell ref="D25:G2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Simulador para el Interior</dc:title>
  <dc:subject>Financiamiento Hogares Residencial</dc:subject>
  <dc:creator>CREDITO HIPOTECARIO</dc:creator>
  <cp:keywords/>
  <dc:description/>
  <cp:lastModifiedBy>Estrada Gutierrez, Nancy Karen</cp:lastModifiedBy>
  <cp:lastPrinted>2021-04-16T21:39:51Z</cp:lastPrinted>
  <dcterms:created xsi:type="dcterms:W3CDTF">2000-04-10T23:53:39Z</dcterms:created>
  <dcterms:modified xsi:type="dcterms:W3CDTF">2022-07-01T16:52:17Z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138021524</vt:i4>
  </property>
  <property fmtid="{D5CDD505-2E9C-101B-9397-08002B2CF9AE}" pid="3" name="_ReviewCycleID">
    <vt:i4>138021524</vt:i4>
  </property>
  <property fmtid="{D5CDD505-2E9C-101B-9397-08002B2CF9AE}" pid="4" name="_NewReviewCycle">
    <vt:lpwstr/>
  </property>
  <property fmtid="{D5CDD505-2E9C-101B-9397-08002B2CF9AE}" pid="5" name="_EmailEntryID">
    <vt:lpwstr>0000000003D0BD10ED4C7B42BAFE58C8BF721B2A04FC4A00</vt:lpwstr>
  </property>
  <property fmtid="{D5CDD505-2E9C-101B-9397-08002B2CF9AE}" pid="6" name="_EmailStoreID">
    <vt:lpwstr>0000000038A1BB1005E5101AA1BB08002B2A56C200006D737073742E646C6C00000000004E495441F9BFB80100AA0037D96E0000000044003A005C00450078006300680061006E00670065005C0041006C0065006A0061006E00640072006F00200052006500730070005F0032003000310034002E007000730074000000</vt:lpwstr>
  </property>
  <property fmtid="{D5CDD505-2E9C-101B-9397-08002B2CF9AE}" pid="7" name="_EmailStoreID0">
    <vt:lpwstr>0000000038A1BB1005E5101AA1BB08002B2A56C200006D737073742E646C6C00000000004E495441F9BFB80100AA0037D96E0000000044003A005C006500670075007400690065007200720065007A005C00650078006300680061006E00670065005C00650066007200610069006E0032003000300039002E0070007300740</vt:lpwstr>
  </property>
  <property fmtid="{D5CDD505-2E9C-101B-9397-08002B2CF9AE}" pid="8" name="_EmailStoreID1">
    <vt:lpwstr>00000</vt:lpwstr>
  </property>
  <property fmtid="{D5CDD505-2E9C-101B-9397-08002B2CF9AE}" pid="9" name="_ReviewingToolsShownOnce">
    <vt:lpwstr/>
  </property>
</Properties>
</file>