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workbookProtection lockStructure="1"/>
  <bookViews>
    <workbookView showSheetTabs="0" xWindow="32767" yWindow="32767" windowWidth="19200" windowHeight="6760" tabRatio="489" activeTab="0"/>
  </bookViews>
  <sheets>
    <sheet name="Simulador 7x5" sheetId="1" r:id="rId1"/>
    <sheet name="Tabla 7x5" sheetId="2" r:id="rId2"/>
    <sheet name="Exclusivo Bco Carta Bienvenida" sheetId="3" state="hidden" r:id="rId3"/>
    <sheet name="Caratula de contrato" sheetId="4" state="hidden" r:id="rId4"/>
    <sheet name="Oferta Vinculante" sheetId="5" state="hidden" r:id="rId5"/>
    <sheet name="Carat_Pre_7x5" sheetId="6" r:id="rId6"/>
    <sheet name="RECAS" sheetId="7" r:id="rId7"/>
  </sheets>
  <definedNames>
    <definedName name="_xlfn.IFERROR" hidden="1">#NAME?</definedName>
    <definedName name="_xlnm.Print_Area" localSheetId="5">'Carat_Pre_7x5'!$A$1:$D$45</definedName>
    <definedName name="_xlnm.Print_Area" localSheetId="3">'Caratula de contrato'!$A$1:$G$84</definedName>
    <definedName name="_xlnm.Print_Area" localSheetId="2">'Exclusivo Bco Carta Bienvenida'!$A$13:$H$64</definedName>
    <definedName name="_xlnm.Print_Area" localSheetId="4">'Oferta Vinculante'!$A$1:$F$221</definedName>
    <definedName name="_xlnm.Print_Area" localSheetId="0">'Simulador 7x5'!$B$2:$N$85</definedName>
    <definedName name="_xlnm.Print_Area" localSheetId="1">'Tabla 7x5'!$A$1:$AA$258</definedName>
    <definedName name="_xlnm.Print_Titles" localSheetId="1">'Tabla 7x5'!$1:$16</definedName>
  </definedNames>
  <calcPr fullCalcOnLoad="1"/>
</workbook>
</file>

<file path=xl/comments1.xml><?xml version="1.0" encoding="utf-8"?>
<comments xmlns="http://schemas.openxmlformats.org/spreadsheetml/2006/main">
  <authors>
    <author>Mendoza Alevario, Alejandro</author>
    <author>MENDOZA ALEVARIO, ALEJANDRO</author>
  </authors>
  <commentList>
    <comment ref="T83" authorId="0">
      <text>
        <r>
          <rPr>
            <b/>
            <sz val="8"/>
            <rFont val="Tahoma"/>
            <family val="2"/>
          </rPr>
          <t>+ IVA</t>
        </r>
      </text>
    </comment>
    <comment ref="AB46" authorId="1">
      <text>
        <r>
          <rPr>
            <b/>
            <sz val="9"/>
            <rFont val="Tahoma"/>
            <family val="2"/>
          </rPr>
          <t>Modificar en caso de que cambie el % por Apoyo Infonavit</t>
        </r>
      </text>
    </comment>
    <comment ref="Q92" authorId="1">
      <text>
        <r>
          <rPr>
            <b/>
            <sz val="9"/>
            <rFont val="Tahoma"/>
            <family val="2"/>
          </rPr>
          <t>El costo del Avalúo debe cotizarse con el área de avalúos</t>
        </r>
      </text>
    </comment>
    <comment ref="R92" authorId="1">
      <text>
        <r>
          <rPr>
            <b/>
            <sz val="9"/>
            <rFont val="Tahoma"/>
            <family val="2"/>
          </rPr>
          <t>El costo del Avalúo debe cotizarse con el área de avalúos</t>
        </r>
      </text>
    </comment>
  </commentList>
</comments>
</file>

<file path=xl/comments7.xml><?xml version="1.0" encoding="utf-8"?>
<comments xmlns="http://schemas.openxmlformats.org/spreadsheetml/2006/main">
  <authors>
    <author>Mendoza Alevario, Alejandro</author>
  </authors>
  <commentList>
    <comment ref="G2" authorId="0">
      <text>
        <r>
          <rPr>
            <sz val="8"/>
            <rFont val="Tahoma"/>
            <family val="2"/>
          </rPr>
          <t>Valora = 1
Pagos Oportunos = 2</t>
        </r>
      </text>
    </comment>
    <comment ref="H2" authorId="0">
      <text>
        <r>
          <rPr>
            <sz val="8"/>
            <rFont val="Tahoma"/>
            <family val="2"/>
          </rPr>
          <t>Individual = 1
Mancomunado = 2</t>
        </r>
      </text>
    </comment>
  </commentList>
</comments>
</file>

<file path=xl/sharedStrings.xml><?xml version="1.0" encoding="utf-8"?>
<sst xmlns="http://schemas.openxmlformats.org/spreadsheetml/2006/main" count="500" uniqueCount="452">
  <si>
    <t>Avalúo</t>
  </si>
  <si>
    <t>Mayor a</t>
  </si>
  <si>
    <t>Hasta a</t>
  </si>
  <si>
    <t>Importe</t>
  </si>
  <si>
    <t>NO</t>
  </si>
  <si>
    <t>Observaciones:</t>
  </si>
  <si>
    <t>Plazo</t>
  </si>
  <si>
    <t>SI</t>
  </si>
  <si>
    <t>Comisión por pagos anticipados</t>
  </si>
  <si>
    <t>Com Aut Dif</t>
  </si>
  <si>
    <t>Saldo Inicial</t>
  </si>
  <si>
    <t>Erogación</t>
  </si>
  <si>
    <t>Interés</t>
  </si>
  <si>
    <t>Amortización</t>
  </si>
  <si>
    <t>Saldo Final</t>
  </si>
  <si>
    <t>Seguros</t>
  </si>
  <si>
    <t>Pago Mensual</t>
  </si>
  <si>
    <t>Inc. Pago</t>
  </si>
  <si>
    <t>Adquisición</t>
  </si>
  <si>
    <t>Pasivo Hipotecario</t>
  </si>
  <si>
    <t>IVA</t>
  </si>
  <si>
    <t>Esquemas</t>
  </si>
  <si>
    <t>SIMULADOR CREDITO HIPOTECARIO</t>
  </si>
  <si>
    <t>Paso 1</t>
  </si>
  <si>
    <t>Paso 2</t>
  </si>
  <si>
    <t>Escoja la opción de su interés:</t>
  </si>
  <si>
    <t>Paso 3</t>
  </si>
  <si>
    <t>Comisión por apertura</t>
  </si>
  <si>
    <t>Tasa aplicada</t>
  </si>
  <si>
    <t>Observaciones</t>
  </si>
  <si>
    <t>- La comisión por prepagos causa IVA y en la corrida ya lo incluye</t>
  </si>
  <si>
    <t>Comisión por prepagos</t>
  </si>
  <si>
    <t>Prepagos a capital</t>
  </si>
  <si>
    <t>Período</t>
  </si>
  <si>
    <t>Tasa de Interés</t>
  </si>
  <si>
    <t>Valor de la vivienda</t>
  </si>
  <si>
    <t>Ingresos brutos por comprobar</t>
  </si>
  <si>
    <t>Escoja su base de cálculo</t>
  </si>
  <si>
    <t>Por Ingresos</t>
  </si>
  <si>
    <t>Por Valor del Inmueble</t>
  </si>
  <si>
    <t>Incremento anual del pago</t>
  </si>
  <si>
    <t>Monto del crédito</t>
  </si>
  <si>
    <t>% máximo de financiamiento</t>
  </si>
  <si>
    <t>Ver tabla de amortización</t>
  </si>
  <si>
    <t>Frontera</t>
  </si>
  <si>
    <t>Cambio de pasivo o adquisi</t>
  </si>
  <si>
    <t>Cambio de etiqueta</t>
  </si>
  <si>
    <t>Erogación inicial</t>
  </si>
  <si>
    <t>Seguro de vida</t>
  </si>
  <si>
    <t>Seguro de daños</t>
  </si>
  <si>
    <t>Total mensualidad inicial</t>
  </si>
  <si>
    <t>Ejecutivo que le atendió</t>
  </si>
  <si>
    <t>Telefonos del cliente</t>
  </si>
  <si>
    <t>Teléfonos del ejecutivo</t>
  </si>
  <si>
    <t>Calculo de credito construcción</t>
  </si>
  <si>
    <t>Dictamen técnico</t>
  </si>
  <si>
    <t>Monto</t>
  </si>
  <si>
    <t>Pago por mil</t>
  </si>
  <si>
    <t>capital invertido</t>
  </si>
  <si>
    <t>Paso 4</t>
  </si>
  <si>
    <t>Escriba los datos solicitados:</t>
  </si>
  <si>
    <t>% de enganche</t>
  </si>
  <si>
    <t>Linea máxima de crédito</t>
  </si>
  <si>
    <t>Teclear los datos con las celdas en blanco</t>
  </si>
  <si>
    <t>FINANCIAMIENTO PARA ADQUISICION EN PREVENTA SCOTIABANK</t>
  </si>
  <si>
    <t>- Esta cotización tiene carácter informativo, Scotiabank se reserva el derecho de cambiar cualquier condición sin previo aviso.</t>
  </si>
  <si>
    <t>- Este documento NO implica que el crédito ha sido autorizado, ni establece obligación alguna para Scotiabank.</t>
  </si>
  <si>
    <t>10 AÑOS</t>
  </si>
  <si>
    <t>Tasa Aplic.</t>
  </si>
  <si>
    <t>10 años</t>
  </si>
  <si>
    <t>Con Apoyo Infonavit:</t>
  </si>
  <si>
    <t>Apoyo Infonavit</t>
  </si>
  <si>
    <t>Aportación Bimestral</t>
  </si>
  <si>
    <t>Ingresos</t>
  </si>
  <si>
    <t>Liga para obtener certificado vida</t>
  </si>
  <si>
    <t>Certificado de seguro de vida</t>
  </si>
  <si>
    <t>Liga para obtener certificado daños</t>
  </si>
  <si>
    <t>Certificado de seguro de daños</t>
  </si>
  <si>
    <t>Liga para obtener certificado obra civil</t>
  </si>
  <si>
    <t>Certificado de seguro obra civil</t>
  </si>
  <si>
    <t>Datos de entrada</t>
  </si>
  <si>
    <t>Fecha de Operación (cuando se depositó el crédito):</t>
  </si>
  <si>
    <t>(DD/MM/AAAA)</t>
  </si>
  <si>
    <t>Crédito</t>
  </si>
  <si>
    <t>dia</t>
  </si>
  <si>
    <t>Numero de crédito:</t>
  </si>
  <si>
    <t>Tasa</t>
  </si>
  <si>
    <t>Mes</t>
  </si>
  <si>
    <t>Fecha de vencimiento</t>
  </si>
  <si>
    <t>Mes siguiente</t>
  </si>
  <si>
    <t>Días transcurridos</t>
  </si>
  <si>
    <t>Año</t>
  </si>
  <si>
    <t>Intereses</t>
  </si>
  <si>
    <t>Año siguiente</t>
  </si>
  <si>
    <t>Para que los calculos de la carta sean correctos es necesario que en el simulador se simule el crédito autorizado y el esquema que el cliente escogió</t>
  </si>
  <si>
    <t>Seguro hipotecario</t>
  </si>
  <si>
    <t>Total</t>
  </si>
  <si>
    <t>Estimado (s) Clientes (s):</t>
  </si>
  <si>
    <t>consolidación de su patrimonio familiar, a través de su crédito hipotecario Scotiabank.</t>
  </si>
  <si>
    <t>A continuación le proporcionamos información importante relativa a su Financiamiento:</t>
  </si>
  <si>
    <t>futura  que  tenga  con  su  crédito, en  caso  de querer  realizar anticipos a capital, deberá abonar a este</t>
  </si>
  <si>
    <t>número a través de nuestra red de sucursales con cheque a favor de Scotiabank Inverlat S.A.</t>
  </si>
  <si>
    <t>La fecha de pago de sus mensualidades serán los días 17 de cada mes. Este pago lo realizará mediante</t>
  </si>
  <si>
    <t xml:space="preserve">cargo  automático  a  su  cuenta  de  cheques. Si  el  día de pago fuera inhábil, el cargo automático a su </t>
  </si>
  <si>
    <t>cuenta de cheques se realizará el día hábil inmediato siguiente.</t>
  </si>
  <si>
    <t>Le  recomendamos  depositar  el  importe de su pago mensual antes de la fecha de pago, especialmente</t>
  </si>
  <si>
    <t>si su depósito es con cheque de otro banco.</t>
  </si>
  <si>
    <t xml:space="preserve">Es   importante   mencionar   que  el  cálculo  del  seguro  de  daños  se  realiza  con  base  en  el  valor </t>
  </si>
  <si>
    <t>destructible  del  inmueble, por  lo que  es posible que difiera de las tablas de amortización que le hemos</t>
  </si>
  <si>
    <t>entregado, y además tenga variaciones en el tiempo.</t>
  </si>
  <si>
    <t xml:space="preserve">A  partir  de  este  momento, usted  cuenta  con  un  seguro  de  vida  e invalidez total y permanente, un </t>
  </si>
  <si>
    <t>seguro  de  obra  civil, durante  la  etapa  de  construcción  del  inmueble y un seguro de daños sobre la</t>
  </si>
  <si>
    <t>propiedad ya construida, anexo a la presente, las cartas de cobertura correspondientes.</t>
  </si>
  <si>
    <t>Si  por  algún  motivo no  recibiera  su  estado  de  cuenta  con oportunidad  o tuviera dudas relacionadas</t>
  </si>
  <si>
    <t>con   su   crédito,  le   sugerimos  llamar   a   nuestro   Centro  de  Atención  Telefónica  a  los  teléfonos</t>
  </si>
  <si>
    <t>5728-1900 para  el  D.F. y  para  el  interior  de  la  República,  sin  costo para usted, al 01-800-70459-00;</t>
  </si>
  <si>
    <t>donde con gusto le atenderán.</t>
  </si>
  <si>
    <t>Con su financiamiento Scotiabank, el hogar de sus sueños es hoy una realidad.</t>
  </si>
  <si>
    <t>Atentamente</t>
  </si>
  <si>
    <t>Ejecutivo Especializado</t>
  </si>
  <si>
    <t>Crédito Hipotecario.</t>
  </si>
  <si>
    <t>ScotiaBank lo(s) felicita por la adquisición de su nueva casa y se complace en ser parte importante de la</t>
  </si>
  <si>
    <t>- CAT =.</t>
  </si>
  <si>
    <t>Comision por apertura</t>
  </si>
  <si>
    <t>Dictámen Técnico</t>
  </si>
  <si>
    <t>-  El crédito solicitado dependerá de la capacidad de pago de cada cliente</t>
  </si>
  <si>
    <t>maximo monto</t>
  </si>
  <si>
    <t>LTV</t>
  </si>
  <si>
    <t>CONTRATO DE APERTURA DE CRÉDITO SIMPLE</t>
  </si>
  <si>
    <t>CONTRATO DE APERTURA DE CRÉDITO SIMPLE CON INTERÉS Y GARANTÍA HIPOTECARIA QUE CELEBRAN POR UNA PARTE SCOTIABANK INVERLAT S.A., INSTITUCIÓN DE BANCA MÚLTIPLE, GRUPO FINANCIERO SCOTIABANK, A QUIEN EN LO SUCESIVO SE LE DENOMINARÁ "EL ACREDITANTE" Y POR OTRA PARTE, LA PERSONA CUYOS DATOS Y FIRMA SE ENCUENTRAN EN LA SOLICITUD, A QUIEN EN LO SUCESIVO SE LE DENOMINARÁ "EL ACREDITADO", DE CONFORMIDAD CON LAS DECLARACIONES Y CLÁUSULAS SIGUIENTES:</t>
  </si>
  <si>
    <t xml:space="preserve">CARÁTULA DEL CONTRATO DE ADHESIÓN DE CRÉDITO HIPOTECARIO </t>
  </si>
  <si>
    <t>NOMBRE COMPLETO DEL ACREDITADO</t>
  </si>
  <si>
    <t>CAT        COSTO ANUAL TOTAL</t>
  </si>
  <si>
    <t>TASA DE INTERÉS ANUAL</t>
  </si>
  <si>
    <t>MONTO DEL CRÉDITO</t>
  </si>
  <si>
    <t>MONTO TOTAL A PAGAR</t>
  </si>
  <si>
    <t xml:space="preserve">COMISIONES </t>
  </si>
  <si>
    <t>Montos (sin IVA)</t>
  </si>
  <si>
    <t>Cláusulas</t>
  </si>
  <si>
    <t>Ordinaria</t>
  </si>
  <si>
    <t>Moratoria</t>
  </si>
  <si>
    <t>Estimado según el contrato</t>
  </si>
  <si>
    <t>Por apertura</t>
  </si>
  <si>
    <t>Moneda en Pesos Mexicanos (Sin incluir intereses, comisiones y demás accesorios)</t>
  </si>
  <si>
    <t>Segun Tabla de Amortización Moneda en Pesos Mexicanos (Incluyendo intereses, comisiones y demás accesorios)</t>
  </si>
  <si>
    <t>Por prepago</t>
  </si>
  <si>
    <t>Las tasas están sujetas a lo establecido en las cláusulas financieras</t>
  </si>
  <si>
    <t>Por cobranza</t>
  </si>
  <si>
    <t>Metodología de cálculo de interés:</t>
  </si>
  <si>
    <t>La tasa de interés ordinaria aplicable al período de que se trate, se multiplica por el saldo insoluto decreciente del crédito, se divide entre 360 y se multiplica por el número de días transcurridos en el período de cómputo de los intereses.</t>
  </si>
  <si>
    <t>La tasa de interés moratoria, se calculará multiplicando por uno punto cinco veces la tasa de interés ordinaria aplicable al período de que se trate y se aplica al período en que subsista la mora por parte del ACREDITADO.</t>
  </si>
  <si>
    <r>
      <t xml:space="preserve">Plazo o vigencia del crédito: </t>
    </r>
    <r>
      <rPr>
        <sz val="8"/>
        <rFont val="Verdana"/>
        <family val="2"/>
      </rPr>
      <t xml:space="preserve">20 </t>
    </r>
    <r>
      <rPr>
        <b/>
        <sz val="8"/>
        <rFont val="Verdana"/>
        <family val="2"/>
      </rPr>
      <t>años.</t>
    </r>
  </si>
  <si>
    <t>Sus Pagos serán como siguen:</t>
  </si>
  <si>
    <t>Número</t>
  </si>
  <si>
    <t>Cuándo se realizan los pagos</t>
  </si>
  <si>
    <t>Periodicidad: MENSUAL</t>
  </si>
  <si>
    <t>Fecha límite de pago: Día 17 de cada mes*.</t>
  </si>
  <si>
    <t>Fecha de corte: Día 17 de cada mes.</t>
  </si>
  <si>
    <t>Con tasas de interés variable: "Si su crédito es de tasa variable, los intereses que se generen a su cargo, pueden cambiar y, en su caso, aumentar ante un ajuste en las tasas de interés utilizadas como referencia."</t>
  </si>
  <si>
    <t>Sujetas a una variable de ajuste: "Esta operación puede variar según las condiciones de mercado existentes, sobre todo cuando se usen referencias variables."</t>
  </si>
  <si>
    <t>De crédito: "Contratar créditos en exceso a su capacidad de pago puede afectar su patrimonio y su historial crediticio"</t>
  </si>
  <si>
    <t>TASE VARIABLE</t>
  </si>
  <si>
    <t>Tasa de referencia</t>
  </si>
  <si>
    <t>Descripción</t>
  </si>
  <si>
    <t>Comportamiento del Diferencial</t>
  </si>
  <si>
    <r>
      <t xml:space="preserve">Tasa de referencia: </t>
    </r>
    <r>
      <rPr>
        <u val="single"/>
        <sz val="8"/>
        <rFont val="Verdana"/>
        <family val="2"/>
      </rPr>
      <t>No Aplica</t>
    </r>
  </si>
  <si>
    <t>Tasa de referencia de</t>
  </si>
  <si>
    <t>No Aplica</t>
  </si>
  <si>
    <r>
      <t>Puede consultarse en:</t>
    </r>
    <r>
      <rPr>
        <u val="single"/>
        <sz val="8"/>
        <rFont val="Verdana"/>
        <family val="2"/>
      </rPr>
      <t xml:space="preserve"> No Aplica </t>
    </r>
  </si>
  <si>
    <r>
      <t xml:space="preserve">Hoy </t>
    </r>
    <r>
      <rPr>
        <u val="single"/>
        <sz val="8"/>
        <rFont val="Verdana"/>
        <family val="2"/>
      </rPr>
      <t xml:space="preserve">No Aplica </t>
    </r>
  </si>
  <si>
    <r>
      <t xml:space="preserve">Diferencial </t>
    </r>
    <r>
      <rPr>
        <u val="single"/>
        <sz val="8"/>
        <rFont val="Verdana"/>
        <family val="2"/>
      </rPr>
      <t xml:space="preserve">No Aplica </t>
    </r>
  </si>
  <si>
    <r>
      <t>Total de Interés:</t>
    </r>
    <r>
      <rPr>
        <u val="single"/>
        <sz val="8"/>
        <rFont val="Verdana"/>
        <family val="2"/>
      </rPr>
      <t xml:space="preserve"> No aplica</t>
    </r>
  </si>
  <si>
    <t>[País de curso legal:</t>
  </si>
  <si>
    <t>Forma de consultar el tipo de cambio o equivalencia</t>
  </si>
  <si>
    <t>Informativo</t>
  </si>
  <si>
    <t>   México         ]</t>
  </si>
  <si>
    <t>www.banxico.org.mx</t>
  </si>
  <si>
    <r>
      <t xml:space="preserve">[Tipo de cambio]/ [Equivalencia] a la fecha: </t>
    </r>
    <r>
      <rPr>
        <u val="single"/>
        <sz val="8"/>
        <rFont val="Verdana"/>
        <family val="2"/>
      </rPr>
      <t>No aplica</t>
    </r>
  </si>
  <si>
    <r>
      <t xml:space="preserve">Monto del crédito en pesos a la fecha: </t>
    </r>
    <r>
      <rPr>
        <u val="single"/>
        <sz val="8"/>
        <rFont val="Verdana"/>
        <family val="2"/>
      </rPr>
      <t>"No aplica"     </t>
    </r>
  </si>
  <si>
    <r>
      <t>Autorización</t>
    </r>
    <r>
      <rPr>
        <sz val="8"/>
        <rFont val="Verdana"/>
        <family val="2"/>
      </rPr>
      <t xml:space="preserve"> Los datos personales pueden utilizarse para mercadeo:</t>
    </r>
  </si>
  <si>
    <t>Si</t>
  </si>
  <si>
    <t>No</t>
  </si>
  <si>
    <r>
      <t>GARANTÍA:</t>
    </r>
    <r>
      <rPr>
        <sz val="8"/>
        <rFont val="Verdana"/>
        <family val="2"/>
      </rPr>
      <t xml:space="preserve"> Para garantizar el pago de este crédito, el ACREDITADO deja en garantía el bien que se describe a continuación:</t>
    </r>
  </si>
  <si>
    <t>Bien</t>
  </si>
  <si>
    <t>Referencias</t>
  </si>
  <si>
    <t>Inmueble</t>
  </si>
  <si>
    <t>Casa habitación</t>
  </si>
  <si>
    <t>Cláusula Vigésima Segunda</t>
  </si>
  <si>
    <t>Fecha para presentar renovación No aplica.</t>
  </si>
  <si>
    <t>Independientemente del seguro anterior, se cuenta con los siguientes:</t>
  </si>
  <si>
    <t>Tipo de seguro:</t>
  </si>
  <si>
    <t>Cía. De Seguros:</t>
  </si>
  <si>
    <t>Monto Asegurado</t>
  </si>
  <si>
    <t>Siniestro objeto de cobertura</t>
  </si>
  <si>
    <t>Beneficiarios</t>
  </si>
  <si>
    <t>Cláusula</t>
  </si>
  <si>
    <t>De daños y de obra y responsabilidad civil, en su caso.</t>
  </si>
  <si>
    <t>Consultar cláusula: Vigésima Tercer, en caso de Apoyo Infonavit y/u Obligación Solidaria Vigésima Cuarta o Vigésima Quinta</t>
  </si>
  <si>
    <t>ScotiaBank Inverlat S.A DE C.V. y/o Acreditado</t>
  </si>
  <si>
    <t>Vigésima Tercera, en caso de Apoyo Infonavit y/u Obligación Solidaria Vigésima Cuarta o Vigésima Quinta.</t>
  </si>
  <si>
    <t>Dudas, aclaraciones y reclamaciones:</t>
  </si>
  <si>
    <t>El procedimiento de reclamaciones está previsto en el artículo 23 de la Ley para la Transparencia y Ordenamiento de los Servicios financieros y se describe en la cláusula Décima Novena del contrato. Para seguir dicho procedimiento la reclamación respectiva deberá dirigirse a la:</t>
  </si>
  <si>
    <t>Unidad especializada de Atención a clientes localizada en:</t>
  </si>
  <si>
    <t>Domicilio: Lorenzo Boturini no. 206, Colonia tránsito, código Postal 06820, en méxico, distrito Federal</t>
  </si>
  <si>
    <r>
      <t xml:space="preserve">Correo electrónico: </t>
    </r>
    <r>
      <rPr>
        <u val="single"/>
        <sz val="8"/>
        <rFont val="Verdana"/>
        <family val="2"/>
      </rPr>
      <t>servclientes@scotiabank.com.mx</t>
    </r>
  </si>
  <si>
    <t>Pagina de Internet: www.scotiabank.com.mx</t>
  </si>
  <si>
    <t>Condusef: Teléfono 01 800 999 8080 Página de Internet: www.condusef.gob.mx</t>
  </si>
  <si>
    <t>Estado de cuenta</t>
  </si>
  <si>
    <t>Consulta de Movimientos</t>
  </si>
  <si>
    <t>Periodicidad</t>
  </si>
  <si>
    <t>Mensual</t>
  </si>
  <si>
    <t>Internet.</t>
  </si>
  <si>
    <t>Lugar de entrega</t>
  </si>
  <si>
    <t>Domicilio donde se ubica la garantía del crédito o en el indicado por el ACREDITADO</t>
  </si>
  <si>
    <t>Invertel*: Centro de atención telefónica 5728 1900 o 018000 704 59 00 del interior de la República.</t>
  </si>
  <si>
    <t>Lugar para consulta</t>
  </si>
  <si>
    <t>Cualquier sucursal</t>
  </si>
  <si>
    <t>Inverweb*: Banca electrónica por Internet</t>
  </si>
  <si>
    <t>*Previa contratación de estos servicios.</t>
  </si>
  <si>
    <t>Datos de inscripcion en el Registro de Contratos de Adhesión</t>
  </si>
  <si>
    <t>Fecha:</t>
  </si>
  <si>
    <t>No: de Registro:</t>
  </si>
  <si>
    <t>*La presente carátula es parte integrante del contrato de apertura de crédito simple con interés y garantía hipotecaria *Crédito Hipotecario* para todos los efectos legales a que haya lugar.</t>
  </si>
  <si>
    <t>Firma de conformidad:</t>
  </si>
  <si>
    <t>EL ACREDITADO.</t>
  </si>
  <si>
    <t>Incluye IVA y accesorios, por lo que pueden existir pequeñas variaciones en cada pago. Aplica sobre la primer ministracion</t>
  </si>
  <si>
    <t>"Para fines informativos de comparación exclusivamente sin IVA"</t>
  </si>
  <si>
    <t>factor de pago</t>
  </si>
  <si>
    <t>- El escenario que se presenta en la tabla de amortización siempre es considerando que se paga de manera puntual.</t>
  </si>
  <si>
    <t>Scotiabank Inverlat, S.A.,</t>
  </si>
  <si>
    <t xml:space="preserve">Institución de Banca Múltiple, </t>
  </si>
  <si>
    <t xml:space="preserve">OFERTA VINCULANTE </t>
  </si>
  <si>
    <t>Lugar y Fecha:</t>
  </si>
  <si>
    <t>Nombre del Solicitante y Cónyuge, en su caso:</t>
  </si>
  <si>
    <t>Importe del Crédito Solicitado:</t>
  </si>
  <si>
    <t>Valor Estimado de la garantía*:</t>
  </si>
  <si>
    <t>Aforo (máximo 80%)*:</t>
  </si>
  <si>
    <t>Seguro de Vida:</t>
  </si>
  <si>
    <t>Seguro de Daños:</t>
  </si>
  <si>
    <t>Gastos Notariales y</t>
  </si>
  <si>
    <t>Costo de Avalúo*:</t>
  </si>
  <si>
    <t xml:space="preserve"> de Escrituración (Aprox):</t>
  </si>
  <si>
    <t>*El valor real se conocerá hasta tener el avalúo correspondiente del inmueble</t>
  </si>
  <si>
    <t>Condiciones del Crédito:</t>
  </si>
  <si>
    <t xml:space="preserve"> Fija inicial</t>
  </si>
  <si>
    <t>Pago por cada mil pesos de préstamo:</t>
  </si>
  <si>
    <t xml:space="preserve"> Inicial</t>
  </si>
  <si>
    <t>Plazo:</t>
  </si>
  <si>
    <t>Financiamiento Máximo (Aforo)</t>
  </si>
  <si>
    <t>Costo Anual Total (1):</t>
  </si>
  <si>
    <t>Forma de Amortización:</t>
  </si>
  <si>
    <t>Amortización mensual creciente</t>
  </si>
  <si>
    <t>sobre valor del inmueble</t>
  </si>
  <si>
    <t>Forma de entrega del préstamo</t>
  </si>
  <si>
    <t>(1)Costo Anual Total (CAT promedio sin IVA)): factor que anualiza la  totalidad de los costos por el Crédito Garantizado (Hipotecario), incluyendo  seguro de vida y daños,</t>
  </si>
  <si>
    <t>avalúo, comisiones e intereses, excluyendo las contribuciones federales y locales, así como los costos correspondientes a trámites y servicios prestados por terceros.</t>
  </si>
  <si>
    <t>Costo Anual Total de créditos denominados en moneda nacional a tasa fija para fines informativos y de comparación exclusivamente. Este CAT sólo es comprable con el</t>
  </si>
  <si>
    <t>CAT de otros créditos denominados en moneda nacional a tasa fija.</t>
  </si>
  <si>
    <t>(2) El cliente elige entre la comisión por apertura o la comisión por pagos anticipados, esta opción solo aplica para el esquema de Valora (I.V.A.: Impuesto al valor agregado)</t>
  </si>
  <si>
    <t>Condiciones y Especificaciones de la Oferta Vinculante.</t>
  </si>
  <si>
    <t>Nombre del Ejecutivo</t>
  </si>
  <si>
    <t>Firma del Solicitante</t>
  </si>
  <si>
    <t>Fecha de Recepción</t>
  </si>
  <si>
    <t>Lugar</t>
  </si>
  <si>
    <t>Sucursal</t>
  </si>
  <si>
    <t>Nombre del cliente / Conyuge en su caso.</t>
  </si>
  <si>
    <t>Adquisición de vivienda en proceso de construcción</t>
  </si>
  <si>
    <t>Valor del inmueble</t>
  </si>
  <si>
    <t>Comisión por dictámen técnico:</t>
  </si>
  <si>
    <r>
      <t>Grupo Financiero Scotiabank</t>
    </r>
    <r>
      <rPr>
        <b/>
        <sz val="10"/>
        <rFont val="Arial"/>
        <family val="2"/>
      </rPr>
      <t xml:space="preserve"> </t>
    </r>
    <r>
      <rPr>
        <b/>
        <sz val="11"/>
        <rFont val="Arial"/>
        <family val="2"/>
      </rPr>
      <t xml:space="preserve">Inverlat                     </t>
    </r>
    <r>
      <rPr>
        <b/>
        <sz val="10"/>
        <rFont val="Arial"/>
        <family val="2"/>
      </rPr>
      <t xml:space="preserve">                               </t>
    </r>
  </si>
  <si>
    <t>Destino del crédito:</t>
  </si>
  <si>
    <t>Comisión por Apertura:</t>
  </si>
  <si>
    <t xml:space="preserve">Tasa de interés ordinaria anual: </t>
  </si>
  <si>
    <t>Tasa Moratoria anual:</t>
  </si>
  <si>
    <t>Gastos Notariales y de Escrituración (Aproximados):</t>
  </si>
  <si>
    <t>Comisiones del Crédito:</t>
  </si>
  <si>
    <t>Comisión por Apertura de Crédito (2)</t>
  </si>
  <si>
    <t>Comisión por Pago Anticipado de Crédito (2)</t>
  </si>
  <si>
    <t>Comisiones Adicionales del Crédito:</t>
  </si>
  <si>
    <t>Por copia de documento o certificación del estado de cuenta (copia del estado de cuenta, certificación del saldo, integración, amortización o desglose). Costo por hoja.</t>
  </si>
  <si>
    <t>$25.00 (veinticinco pesos, moneda nacional) más el impuesto al valor agregado (I.V.A.)</t>
  </si>
  <si>
    <t>Por concepto de gastos de cobranza, por cada mensualidad no pagada</t>
  </si>
  <si>
    <t>$350.00 (trescientos cincuenta pesos, moneda nacional) más el impuesto al valor agragado (I.V.A.)</t>
  </si>
  <si>
    <t>Nota: Las comisiones adicionales al crédito se cobrarán en caso de que el cliente solicite el servicio o incurra en ellos.</t>
  </si>
  <si>
    <t>Costos del Crédito:</t>
  </si>
  <si>
    <t>Seguro de Vida</t>
  </si>
  <si>
    <t>0.50 al millar sobre el saldo insoluto del crédito</t>
  </si>
  <si>
    <t>Seguro de Daños</t>
  </si>
  <si>
    <t>0.2623 al millar sobre el valor de construcción</t>
  </si>
  <si>
    <t>Costo del Avalúo</t>
  </si>
  <si>
    <t>Depende del valor del inmueble (ver tabla de costos anexa)</t>
  </si>
  <si>
    <t>Dictamen Técnico</t>
  </si>
  <si>
    <t>1% sobre el monto del crédito autorizado, con un costo máximo de $12,000 y mínimo de $4,500.</t>
  </si>
  <si>
    <t>En parcialidades de acuerdo con los avances de obra que se fijen</t>
  </si>
  <si>
    <t>Comisión por apertura 0% y comisión por prepago 3% más IVA</t>
  </si>
  <si>
    <t>2% sobre el importe de crédito autorizado.</t>
  </si>
  <si>
    <t>3% más impuesto al valor agregado (I.V.A.) sobre el importe a anticipar</t>
  </si>
  <si>
    <t>Para fines informativos y de comparación exclusivamente  Nota: IVA (Impuesto al Valor Agregado)</t>
  </si>
  <si>
    <t>Decimo Primera</t>
  </si>
  <si>
    <t>Aplican otras comisiones</t>
  </si>
  <si>
    <t>[MONEDA]: Pesos Moneda Nacional</t>
  </si>
  <si>
    <r>
      <t>SEGURO:</t>
    </r>
    <r>
      <rPr>
        <sz val="8"/>
        <rFont val="Verdana"/>
        <family val="2"/>
      </rPr>
      <t xml:space="preserve"> La presente operación cuenta con seguro de vida contratado con la compañía: ASSURANT Vida México S.A.</t>
    </r>
  </si>
  <si>
    <t>MAPFRE TEPEYAC S.A.</t>
  </si>
  <si>
    <t>Prima pagadera con periodicidad MENSUAL en moneda nacional, por el monto indicado en el estado de cuenta</t>
  </si>
  <si>
    <t>Teléfono: en la zona metropolitana al teléfono 57281000 extensiones 4484 y e el interior de la República al 018007045900</t>
  </si>
  <si>
    <t>0319-138-003326/05-09035-0610</t>
  </si>
  <si>
    <t>preventa</t>
  </si>
  <si>
    <t>0319-138-003327/05-09034-0610</t>
  </si>
  <si>
    <t>preven con apoyo</t>
  </si>
  <si>
    <t>EL OBLIGADO SOLIDARIO</t>
  </si>
  <si>
    <r>
      <t>-</t>
    </r>
    <r>
      <rPr>
        <b/>
        <sz val="8"/>
        <rFont val="Arial"/>
        <family val="2"/>
      </rPr>
      <t>No se incluyen los</t>
    </r>
    <r>
      <rPr>
        <sz val="8"/>
        <rFont val="Arial"/>
        <family val="2"/>
      </rPr>
      <t xml:space="preserve"> </t>
    </r>
    <r>
      <rPr>
        <b/>
        <sz val="8"/>
        <rFont val="Arial"/>
        <family val="2"/>
      </rPr>
      <t>gastos notariales</t>
    </r>
    <r>
      <rPr>
        <sz val="8"/>
        <rFont val="Arial"/>
        <family val="2"/>
      </rPr>
      <t>, los cuales se pagaran al momento de la firma del crédito</t>
    </r>
  </si>
  <si>
    <t xml:space="preserve">-  Scotiabank se reserva el derecho de solicitar información adicional y/o restringir parámetros de enganche, monto, plazo o tasa en función de las características específicas </t>
  </si>
  <si>
    <t xml:space="preserve">    del solicitante y del inmueble objeto de la operación.</t>
  </si>
  <si>
    <r>
      <t xml:space="preserve">-  En caso de que aplique, la comisión por pagos anticipados </t>
    </r>
    <r>
      <rPr>
        <b/>
        <sz val="8"/>
        <rFont val="Arial"/>
        <family val="2"/>
      </rPr>
      <t>causa I.V.A.</t>
    </r>
  </si>
  <si>
    <t>.</t>
  </si>
  <si>
    <t>Comisión por apertura 1% y comisión por prepago 0%</t>
  </si>
  <si>
    <t>Aforo</t>
  </si>
  <si>
    <t>Vida</t>
  </si>
  <si>
    <t>Daños</t>
  </si>
  <si>
    <t>Comisión por aut difer =</t>
  </si>
  <si>
    <t>Comisión por Apertura =</t>
  </si>
  <si>
    <t>Comisión por Prepago =</t>
  </si>
  <si>
    <t>Máximo</t>
  </si>
  <si>
    <t>Ya no hay minimo</t>
  </si>
  <si>
    <t>CALCULO PARA EL IMPORTE MAXIMO DE APORTACION PATRONAL</t>
  </si>
  <si>
    <t>Tope de aportación patronal</t>
  </si>
  <si>
    <t>Aportación patronal</t>
  </si>
  <si>
    <t>Aportación Patronal 5%</t>
  </si>
  <si>
    <t>No. de días del bimestre (promedio 60 días)</t>
  </si>
  <si>
    <t>Aportación Patronal bimestral</t>
  </si>
  <si>
    <t>RPI</t>
  </si>
  <si>
    <t>años</t>
  </si>
  <si>
    <t>meses</t>
  </si>
  <si>
    <t>El crédito se liquida</t>
  </si>
  <si>
    <t>Años</t>
  </si>
  <si>
    <t>por pago puntual en:</t>
  </si>
  <si>
    <t>Meses</t>
  </si>
  <si>
    <t>Monto Crédito</t>
  </si>
  <si>
    <r>
      <t>Nombre comercial del producto:</t>
    </r>
    <r>
      <rPr>
        <sz val="8"/>
        <rFont val="Verdana"/>
        <family val="2"/>
      </rPr>
      <t> </t>
    </r>
  </si>
  <si>
    <r>
      <t>Tipo de Crédito: Crédito Hipotecario</t>
    </r>
    <r>
      <rPr>
        <sz val="8"/>
        <rFont val="Verdana"/>
        <family val="2"/>
      </rPr>
      <t xml:space="preserve"> </t>
    </r>
  </si>
  <si>
    <t>CAT</t>
  </si>
  <si>
    <t>TASA DE INTERES</t>
  </si>
  <si>
    <t>MONTO O LINEA DE</t>
  </si>
  <si>
    <t>(Costo Anual Total)</t>
  </si>
  <si>
    <t>CRÉDITO</t>
  </si>
  <si>
    <t>Sin IVA</t>
  </si>
  <si>
    <t>Moneda en</t>
  </si>
  <si>
    <t>Para fines</t>
  </si>
  <si>
    <t>Pesos</t>
  </si>
  <si>
    <t>informativos y de</t>
  </si>
  <si>
    <t xml:space="preserve">Mexicanos </t>
  </si>
  <si>
    <t>comparación</t>
  </si>
  <si>
    <t>PLAZO DEL CRÉDITO:</t>
  </si>
  <si>
    <t>COMISIONES RELEVANTES</t>
  </si>
  <si>
    <t>ADVERTENCIAS</t>
  </si>
  <si>
    <t>SEGUROS</t>
  </si>
  <si>
    <t>Seguros Obligatorios:</t>
  </si>
  <si>
    <t>Aseguradora:</t>
  </si>
  <si>
    <t>Cláusulas:</t>
  </si>
  <si>
    <t>ESTADO DE CUENTA</t>
  </si>
  <si>
    <t>Aclaraciones y reclamaciones:</t>
  </si>
  <si>
    <t>Unidad Especializada de Aclaraciones:</t>
  </si>
  <si>
    <t>Domicilio: Río Usumacinta S/N, esq. con Fernando Montes de Oca, Col. La Presita, Municipio de Cuautitlán Izcalli, Estado de México, C.P. 54763</t>
  </si>
  <si>
    <t>Teléfono: (55) 5123 0990</t>
  </si>
  <si>
    <t>Correo electrónico: une@scotiabank.com.mx</t>
  </si>
  <si>
    <t xml:space="preserve">Página de Internet: www.scotiabank.com.mx </t>
  </si>
  <si>
    <t>Comisión Nacional para la Protección y Defensa de los Usuarios de Servicios Financieros (CONDUSEF):</t>
  </si>
  <si>
    <t>Clave</t>
  </si>
  <si>
    <t>No.</t>
  </si>
  <si>
    <t>Nombre</t>
  </si>
  <si>
    <t>RECA</t>
  </si>
  <si>
    <t>Fecha de expedición</t>
  </si>
  <si>
    <t>Tipo Crédito</t>
  </si>
  <si>
    <t>Esquema</t>
  </si>
  <si>
    <t>Mancomunado</t>
  </si>
  <si>
    <t>Producto</t>
  </si>
  <si>
    <t>Tasas</t>
  </si>
  <si>
    <t>Pgo x mil</t>
  </si>
  <si>
    <t>Mensualidad</t>
  </si>
  <si>
    <t>Créd. Máx</t>
  </si>
  <si>
    <t>7x5</t>
  </si>
  <si>
    <t>5 años</t>
  </si>
  <si>
    <t>5 AÑOS</t>
  </si>
  <si>
    <t>Incremento Anual</t>
  </si>
  <si>
    <t>Preventa Con Apoyo Hipoteca 7 x 5</t>
  </si>
  <si>
    <t>Preventa Hipoteca 7 x 5</t>
  </si>
  <si>
    <t>Scotiabank Inverlat, S.A., Institución de Banca Múltiple, Grupo Financiero Scotiabank Inverlat</t>
  </si>
  <si>
    <t>- Esta cotización tiene carácter informativo. Scotiabank se reserva el derecho de cambiar cualquier condición sin previo aviso.</t>
  </si>
  <si>
    <t>NO APLICA</t>
  </si>
  <si>
    <t>Al ser tu crédito de tasa variable, los intereses pueden aumentar.</t>
  </si>
  <si>
    <t>Prepago: 0%  más IVA sobre el monto anticipado</t>
  </si>
  <si>
    <t>Factor p/ TIIE</t>
  </si>
  <si>
    <t>Tasa Fija</t>
  </si>
  <si>
    <t>Apertura</t>
  </si>
  <si>
    <t>Monto a financiar adquisición</t>
  </si>
  <si>
    <t>Decsisión de monto a financiar</t>
  </si>
  <si>
    <t>- En caso de anticipos a capital escoja la opción:</t>
  </si>
  <si>
    <t>Fecha</t>
  </si>
  <si>
    <t>Dias</t>
  </si>
  <si>
    <t>Año actual</t>
  </si>
  <si>
    <t>Mes actual</t>
  </si>
  <si>
    <t>Día actual</t>
  </si>
  <si>
    <t>Dia/corte</t>
  </si>
  <si>
    <t>sumar</t>
  </si>
  <si>
    <t>Días/Mes</t>
  </si>
  <si>
    <t>Interés mensual = Sdo inicial x tasa / 360 x # días del mes</t>
  </si>
  <si>
    <t>TIR</t>
  </si>
  <si>
    <t>El cliente opta por seguros externos</t>
  </si>
  <si>
    <t>Paso 5</t>
  </si>
  <si>
    <t>Contratación de Seguros</t>
  </si>
  <si>
    <t xml:space="preserve">SI </t>
  </si>
  <si>
    <t>Ingrese la TIIE si está en periodo de revisión:</t>
  </si>
  <si>
    <t>Valor Destructible</t>
  </si>
  <si>
    <t>Ingresos mínimos</t>
  </si>
  <si>
    <t>Nombre del Acreditado y/o Coacreditado:</t>
  </si>
  <si>
    <t xml:space="preserve">El avalista, obligado solidario o coacreditado responderá como obligado principal por el total del pago frente a la Institución Financiera. </t>
  </si>
  <si>
    <t xml:space="preserve">Incremento anual promedio para las aportaciones = </t>
  </si>
  <si>
    <t>Salario diario nominal (enero 2017)</t>
  </si>
  <si>
    <t>ANUAL ORDINARIA</t>
  </si>
  <si>
    <t>-</t>
  </si>
  <si>
    <t xml:space="preserve">Carátula de Crédito </t>
  </si>
  <si>
    <t>MONTO TOTAL A PAGAR O</t>
  </si>
  <si>
    <t>MINIMO A PAGAR</t>
  </si>
  <si>
    <r>
      <t xml:space="preserve">Fecha Límite de pago: 
</t>
    </r>
    <r>
      <rPr>
        <sz val="8"/>
        <rFont val="Verdana"/>
        <family val="2"/>
      </rPr>
      <t xml:space="preserve">Si tu fecha de corte es el día 3, tu fecha de pago es el día 3 de cada mes. 
Si tu fecha de corte es el día 17, tu fecha de pago es el día 17 de cada mes. </t>
    </r>
  </si>
  <si>
    <r>
      <t xml:space="preserve">Fecha de corte: </t>
    </r>
    <r>
      <rPr>
        <sz val="8"/>
        <rFont val="Verdana"/>
        <family val="2"/>
      </rPr>
      <t xml:space="preserve">
Si tu fecha de disposición es entre el dia 3 y 16, tu fecha de corte será el día 3 de cada mes. 
Si tu fecha de disposición es entre el día 17 y 2, tu fecha de corte será el día 17 de cada mes.</t>
    </r>
  </si>
  <si>
    <t xml:space="preserve">Incumplir tus obligaciones te puede generar comisiones e intereses moratorios. </t>
  </si>
  <si>
    <t>Vigésima Cuarta</t>
  </si>
  <si>
    <t>Comisión promoción 0%</t>
  </si>
  <si>
    <t>15 años</t>
  </si>
  <si>
    <t>20 años</t>
  </si>
  <si>
    <t>Tope</t>
  </si>
  <si>
    <t>Para otras comisiones consulte la cláusula décimo tercera</t>
  </si>
  <si>
    <t>Número de Crédito:</t>
  </si>
  <si>
    <t>Scotiabank Inverlat le ofrece al acreditado y/o coacreditado, la posibilidad de contratar a nombre de este (os) último(s) los seguros establecidos en la cláusula vigésima cuarta. Lo anterior sin perjuicio del derecho innegable que el cliente tiene de contratarlos a través de terceros.</t>
  </si>
  <si>
    <r>
      <t xml:space="preserve">Envío a Domicilio </t>
    </r>
    <r>
      <rPr>
        <u val="single"/>
        <sz val="10"/>
        <rFont val="Wingdings"/>
        <family val="0"/>
      </rPr>
      <t>ü</t>
    </r>
    <r>
      <rPr>
        <sz val="8"/>
        <rFont val="Verdana"/>
        <family val="2"/>
      </rPr>
      <t xml:space="preserve">              Consulta vía Internet ___            Envío por Correo Electrónico ___</t>
    </r>
  </si>
  <si>
    <t xml:space="preserve">Contratar créditos que excedan de tu capacidad de pago afecta tu historial crediticio. </t>
  </si>
  <si>
    <t>Cardif México Seguros de Vida,          S.A. de C.V.</t>
  </si>
  <si>
    <t>Daños, Responsabilidad Civil y           Desempleo</t>
  </si>
  <si>
    <t>Cardif México Seguros Generales, S.A. de C.V.</t>
  </si>
  <si>
    <t>RELACIÓN RECAS</t>
  </si>
  <si>
    <t>0319-138-020527/12-02353-0622</t>
  </si>
  <si>
    <t>0319-138-020528/12-02354-0622</t>
  </si>
  <si>
    <t>v2022.06</t>
  </si>
  <si>
    <t>Erogación 
(a+b)</t>
  </si>
  <si>
    <t>Interés 
(a)</t>
  </si>
  <si>
    <t>Amortización (b)</t>
  </si>
  <si>
    <t>Prepagos a capital (c)</t>
  </si>
  <si>
    <t>Seguro de 
vida (d)</t>
  </si>
  <si>
    <t>Seguro de daños (e)</t>
  </si>
  <si>
    <t>Pago Mensual (a+b+c+d+e)</t>
  </si>
  <si>
    <r>
      <t>Cobranza: $500.00 más IVA por pago tardío</t>
    </r>
    <r>
      <rPr>
        <sz val="8"/>
        <rFont val="Verdana"/>
        <family val="2"/>
      </rPr>
      <t xml:space="preserve"> </t>
    </r>
  </si>
  <si>
    <t xml:space="preserve">Teléfono: 800 999 8080 y (55) 5340 0999. Página de Internet. www.condusef.gob.mx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</si>
</sst>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 numFmtId="175" formatCode="_(&quot;$&quot;* #,##0.0_);_(&quot;$&quot;* \(#,##0.0\);_(&quot;$&quot;* &quot;-&quot;??_);_(@_)"/>
    <numFmt numFmtId="176" formatCode="_(&quot;$&quot;* #,##0_);_(&quot;$&quot;* \(#,##0\);_(&quot;$&quot;* &quot;-&quot;??_);_(@_)"/>
    <numFmt numFmtId="177" formatCode="_(&quot;$&quot;* #,##0.000_);_(&quot;$&quot;* \(#,##0.000\);_(&quot;$&quot;* &quot;-&quot;??_);_(@_)"/>
    <numFmt numFmtId="178" formatCode="_(&quot;$&quot;* #,##0.0000_);_(&quot;$&quot;* \(#,##0.0000\);_(&quot;$&quot;* &quot;-&quot;??_);_(@_)"/>
    <numFmt numFmtId="179" formatCode="_(&quot;$&quot;* #,##0._);_(&quot;$&quot;* \(#,##0.00\);_(&quot;$&quot;* &quot;-&quot;??_);_(@_)"/>
    <numFmt numFmtId="180" formatCode="_(&quot;$&quot;* #,##0_);_(&quot;$&quot;* \(#,##0.00\);_(&quot;$&quot;* &quot;-&quot;??_);_(@_)"/>
    <numFmt numFmtId="181" formatCode="#,##0.0"/>
    <numFmt numFmtId="182" formatCode="#,##0.000"/>
    <numFmt numFmtId="183" formatCode="0.000%"/>
    <numFmt numFmtId="184" formatCode="0.0"/>
    <numFmt numFmtId="185" formatCode="0.000"/>
    <numFmt numFmtId="186" formatCode="0.0000"/>
    <numFmt numFmtId="187" formatCode="mmmm\ d\,\ yyyy"/>
    <numFmt numFmtId="188" formatCode="&quot;$&quot;#,##0.00"/>
    <numFmt numFmtId="189" formatCode="&quot;$&quot;#,##0.0_);[Red]\(&quot;$&quot;#,##0.0\)"/>
    <numFmt numFmtId="190" formatCode="00000"/>
    <numFmt numFmtId="191" formatCode="#,##0.00;[Red]#,##0.00"/>
    <numFmt numFmtId="192" formatCode="_(* #,##0.0_);_(* \(#,##0.0\);_(* &quot;-&quot;?_);_(@_)"/>
    <numFmt numFmtId="193" formatCode="_-* #,##0.0_-;\-* #,##0.0_-;_-* &quot;-&quot;??_-;_-@_-"/>
    <numFmt numFmtId="194" formatCode="_-* #,##0_-;\-* #,##0_-;_-* &quot;-&quot;??_-;_-@_-"/>
    <numFmt numFmtId="195" formatCode="_(* #,##0.000_);_(* \(#,##0.000\);_(* &quot;-&quot;??_);_(@_)"/>
    <numFmt numFmtId="196" formatCode="_(* #,##0.0000_);_(* \(#,##0.0000\);_(* &quot;-&quot;??_);_(@_)"/>
    <numFmt numFmtId="197" formatCode="_-* #,##0.0_-;\-* #,##0.0_-;_-* &quot;-&quot;?_-;_-@_-"/>
    <numFmt numFmtId="198" formatCode="_-* #,##0.000_-;\-* #,##0.000_-;_-* &quot;-&quot;???_-;_-@_-"/>
    <numFmt numFmtId="199" formatCode="_-* #,##0.0000_-;\-* #,##0.0000_-;_-* &quot;-&quot;????_-;_-@_-"/>
    <numFmt numFmtId="200" formatCode="[$-80A]d&quot; de &quot;mmmm&quot; de &quot;yyyy;@"/>
    <numFmt numFmtId="201" formatCode="&quot;$&quot;#,##0.000"/>
    <numFmt numFmtId="202" formatCode="dd/mm/yyyy;@"/>
    <numFmt numFmtId="203" formatCode="&quot;$&quot;#,##0.0000000"/>
    <numFmt numFmtId="204" formatCode="_(* #,##0.0000000_);_(* \(#,##0.0000000\);_(* &quot;-&quot;??_);_(@_)"/>
    <numFmt numFmtId="205" formatCode="0.00000%"/>
    <numFmt numFmtId="206" formatCode="[$-80A]dddd\,\ dd&quot; de &quot;mmmm&quot; de &quot;yyyy"/>
    <numFmt numFmtId="207" formatCode="[$-80A]hh:mm:ss\ AM/PM"/>
    <numFmt numFmtId="208" formatCode="0.00000"/>
    <numFmt numFmtId="209" formatCode="&quot;$&quot;#,##0.0000"/>
    <numFmt numFmtId="210" formatCode="_(* #,##0.00000_);_(* \(#,##0.00000\);_(* &quot;-&quot;??_);_(@_)"/>
    <numFmt numFmtId="211" formatCode="_(* #,##0.000000_);_(* \(#,##0.000000\);_(* &quot;-&quot;??_);_(@_)"/>
    <numFmt numFmtId="212" formatCode="0.0000%"/>
    <numFmt numFmtId="213" formatCode="[$-80A]dddd\,\ d&quot; de &quot;mmmm&quot; de &quot;yyyy"/>
  </numFmts>
  <fonts count="90">
    <font>
      <sz val="10"/>
      <name val="Arial"/>
      <family val="0"/>
    </font>
    <font>
      <b/>
      <sz val="12"/>
      <name val="Arial"/>
      <family val="2"/>
    </font>
    <font>
      <u val="single"/>
      <sz val="10"/>
      <color indexed="12"/>
      <name val="Arial"/>
      <family val="2"/>
    </font>
    <font>
      <u val="single"/>
      <sz val="10"/>
      <color indexed="36"/>
      <name val="Arial"/>
      <family val="2"/>
    </font>
    <font>
      <b/>
      <sz val="8"/>
      <name val="Arial"/>
      <family val="2"/>
    </font>
    <font>
      <sz val="8"/>
      <name val="Arial"/>
      <family val="2"/>
    </font>
    <font>
      <sz val="8"/>
      <name val="Tahoma"/>
      <family val="2"/>
    </font>
    <font>
      <b/>
      <sz val="8"/>
      <color indexed="10"/>
      <name val="Arial"/>
      <family val="2"/>
    </font>
    <font>
      <b/>
      <i/>
      <sz val="12"/>
      <color indexed="10"/>
      <name val="Arial"/>
      <family val="2"/>
    </font>
    <font>
      <b/>
      <sz val="10"/>
      <name val="Arial"/>
      <family val="2"/>
    </font>
    <font>
      <b/>
      <sz val="10"/>
      <color indexed="10"/>
      <name val="Arial"/>
      <family val="2"/>
    </font>
    <font>
      <b/>
      <sz val="11"/>
      <name val="Arial"/>
      <family val="2"/>
    </font>
    <font>
      <sz val="10"/>
      <color indexed="10"/>
      <name val="Arial"/>
      <family val="2"/>
    </font>
    <font>
      <b/>
      <sz val="7"/>
      <name val="Verdana"/>
      <family val="2"/>
    </font>
    <font>
      <b/>
      <sz val="8"/>
      <name val="Verdana"/>
      <family val="2"/>
    </font>
    <font>
      <sz val="8"/>
      <name val="Verdana"/>
      <family val="2"/>
    </font>
    <font>
      <b/>
      <u val="single"/>
      <sz val="8"/>
      <name val="Verdana"/>
      <family val="2"/>
    </font>
    <font>
      <u val="single"/>
      <sz val="8"/>
      <name val="Verdana"/>
      <family val="2"/>
    </font>
    <font>
      <b/>
      <sz val="14"/>
      <name val="Arial"/>
      <family val="2"/>
    </font>
    <font>
      <sz val="9"/>
      <name val="Arial"/>
      <family val="2"/>
    </font>
    <font>
      <b/>
      <sz val="8"/>
      <name val="Tahoma"/>
      <family val="2"/>
    </font>
    <font>
      <sz val="12"/>
      <name val="Times New Roman"/>
      <family val="1"/>
    </font>
    <font>
      <b/>
      <sz val="9"/>
      <name val="Arial"/>
      <family val="2"/>
    </font>
    <font>
      <b/>
      <sz val="9"/>
      <name val="Tahoma"/>
      <family val="2"/>
    </font>
    <font>
      <b/>
      <i/>
      <sz val="11"/>
      <color indexed="10"/>
      <name val="Arial"/>
      <family val="2"/>
    </font>
    <font>
      <b/>
      <sz val="6"/>
      <name val="Arial"/>
      <family val="2"/>
    </font>
    <font>
      <sz val="6"/>
      <name val="Arial"/>
      <family val="2"/>
    </font>
    <font>
      <sz val="7"/>
      <name val="Arial"/>
      <family val="2"/>
    </font>
    <font>
      <u val="single"/>
      <sz val="10"/>
      <name val="Wingdings"/>
      <family val="0"/>
    </font>
    <font>
      <sz val="11"/>
      <name val="Arial"/>
      <family val="2"/>
    </font>
    <font>
      <b/>
      <sz val="10"/>
      <name val="Verdana"/>
      <family val="2"/>
    </font>
    <font>
      <sz val="8"/>
      <name val="Segoe UI"/>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57"/>
      <name val="Calibri"/>
      <family val="2"/>
    </font>
    <font>
      <b/>
      <sz val="11"/>
      <color indexed="5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57"/>
      <name val="Cambria"/>
      <family val="2"/>
    </font>
    <font>
      <b/>
      <sz val="13"/>
      <color indexed="57"/>
      <name val="Calibri"/>
      <family val="2"/>
    </font>
    <font>
      <b/>
      <sz val="11"/>
      <color indexed="8"/>
      <name val="Calibri"/>
      <family val="2"/>
    </font>
    <font>
      <sz val="10"/>
      <color indexed="9"/>
      <name val="Arial"/>
      <family val="2"/>
    </font>
    <font>
      <b/>
      <sz val="12"/>
      <color indexed="23"/>
      <name val="Arial"/>
      <family val="2"/>
    </font>
    <font>
      <sz val="6"/>
      <color indexed="9"/>
      <name val="Calibri"/>
      <family val="2"/>
    </font>
    <font>
      <b/>
      <sz val="8"/>
      <color indexed="13"/>
      <name val="Arial"/>
      <family val="2"/>
    </font>
    <font>
      <b/>
      <sz val="11"/>
      <name val="Calibri"/>
      <family val="2"/>
    </font>
    <font>
      <b/>
      <sz val="11"/>
      <color indexed="62"/>
      <name val="Calibri"/>
      <family val="2"/>
    </font>
    <font>
      <b/>
      <sz val="10"/>
      <color indexed="9"/>
      <name val="Arial"/>
      <family val="2"/>
    </font>
    <font>
      <sz val="8"/>
      <color indexed="10"/>
      <name val="Arial"/>
      <family val="2"/>
    </font>
    <font>
      <b/>
      <sz val="8"/>
      <color indexed="62"/>
      <name val="Arial"/>
      <family val="2"/>
    </font>
    <font>
      <sz val="8"/>
      <color indexed="8"/>
      <name val="Verdana"/>
      <family val="2"/>
    </font>
    <font>
      <b/>
      <sz val="14"/>
      <color indexed="9"/>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2"/>
      <color rgb="FF808080"/>
      <name val="Arial"/>
      <family val="2"/>
    </font>
    <font>
      <sz val="6"/>
      <color theme="0"/>
      <name val="Calibri"/>
      <family val="2"/>
    </font>
    <font>
      <b/>
      <sz val="8"/>
      <color rgb="FFFFFF00"/>
      <name val="Arial"/>
      <family val="2"/>
    </font>
    <font>
      <b/>
      <sz val="8"/>
      <color rgb="FFFF0000"/>
      <name val="Arial"/>
      <family val="2"/>
    </font>
    <font>
      <b/>
      <sz val="10"/>
      <color rgb="FFFF0000"/>
      <name val="Arial"/>
      <family val="2"/>
    </font>
    <font>
      <b/>
      <sz val="11"/>
      <color theme="7" tint="-0.4999699890613556"/>
      <name val="Calibri"/>
      <family val="2"/>
    </font>
    <font>
      <b/>
      <sz val="10"/>
      <color theme="0"/>
      <name val="Arial"/>
      <family val="2"/>
    </font>
    <font>
      <sz val="8"/>
      <color rgb="FFFF0000"/>
      <name val="Arial"/>
      <family val="2"/>
    </font>
    <font>
      <b/>
      <sz val="8"/>
      <color rgb="FF7030A0"/>
      <name val="Arial"/>
      <family val="2"/>
    </font>
    <font>
      <sz val="8"/>
      <color theme="1"/>
      <name val="Verdana"/>
      <family val="2"/>
    </font>
    <font>
      <b/>
      <sz val="14"/>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theme="2" tint="-0.09996999800205231"/>
        <bgColor indexed="64"/>
      </patternFill>
    </fill>
    <fill>
      <patternFill patternType="solid">
        <fgColor rgb="FFFF0000"/>
        <bgColor indexed="64"/>
      </patternFill>
    </fill>
    <fill>
      <patternFill patternType="solid">
        <fgColor indexed="45"/>
        <bgColor indexed="64"/>
      </patternFill>
    </fill>
    <fill>
      <patternFill patternType="solid">
        <fgColor rgb="FFFFFF00"/>
        <bgColor indexed="64"/>
      </patternFill>
    </fill>
    <fill>
      <patternFill patternType="solid">
        <fgColor indexed="45"/>
        <bgColor indexed="64"/>
      </patternFill>
    </fill>
    <fill>
      <patternFill patternType="solid">
        <fgColor indexed="22"/>
        <bgColor indexed="64"/>
      </patternFill>
    </fill>
    <fill>
      <patternFill patternType="solid">
        <fgColor indexed="35"/>
        <bgColor indexed="64"/>
      </patternFill>
    </fill>
    <fill>
      <patternFill patternType="solid">
        <fgColor indexed="26"/>
        <bgColor indexed="64"/>
      </patternFill>
    </fill>
    <fill>
      <patternFill patternType="solid">
        <fgColor theme="9" tint="0.7999799847602844"/>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rgb="FFFFC000"/>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style="thin"/>
      <top style="medium"/>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style="medium"/>
    </border>
    <border>
      <left>
        <color indexed="63"/>
      </left>
      <right style="thin">
        <color indexed="8"/>
      </right>
      <top>
        <color indexed="63"/>
      </top>
      <bottom style="medium"/>
    </border>
    <border>
      <left style="thin">
        <color indexed="8"/>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color indexed="63"/>
      </top>
      <bottom>
        <color indexed="63"/>
      </bottom>
    </border>
    <border>
      <left style="medium"/>
      <right style="thin"/>
      <top style="thin">
        <color indexed="8"/>
      </top>
      <bottom style="thin">
        <color indexed="8"/>
      </bottom>
    </border>
    <border>
      <left style="medium">
        <color indexed="8"/>
      </left>
      <right>
        <color indexed="63"/>
      </right>
      <top>
        <color indexed="63"/>
      </top>
      <bottom>
        <color indexed="63"/>
      </bottom>
    </border>
    <border>
      <left style="medium"/>
      <right>
        <color indexed="63"/>
      </right>
      <top style="medium"/>
      <bottom style="medium"/>
    </border>
    <border>
      <left>
        <color indexed="63"/>
      </left>
      <right style="thin">
        <color indexed="8"/>
      </right>
      <top style="medium"/>
      <bottom style="medium"/>
    </border>
    <border>
      <left>
        <color indexed="63"/>
      </left>
      <right>
        <color indexed="63"/>
      </right>
      <top>
        <color indexed="63"/>
      </top>
      <bottom style="dashed"/>
    </border>
    <border>
      <left style="thin">
        <color indexed="8"/>
      </left>
      <right style="thin">
        <color indexed="8"/>
      </right>
      <top>
        <color indexed="63"/>
      </top>
      <bottom style="medium"/>
    </border>
    <border>
      <left style="thin"/>
      <right style="thin"/>
      <top style="medium"/>
      <bottom style="thin"/>
    </border>
    <border>
      <left style="thin"/>
      <right style="medium"/>
      <top style="medium"/>
      <bottom style="thin"/>
    </border>
    <border>
      <left>
        <color indexed="63"/>
      </left>
      <right style="double"/>
      <top>
        <color indexed="63"/>
      </top>
      <bottom style="double"/>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color indexed="63"/>
      </bottom>
    </border>
    <border>
      <left>
        <color indexed="63"/>
      </left>
      <right style="thick"/>
      <top>
        <color indexed="63"/>
      </top>
      <bottom style="thick"/>
    </border>
    <border>
      <left>
        <color indexed="63"/>
      </left>
      <right>
        <color indexed="63"/>
      </right>
      <top>
        <color indexed="63"/>
      </top>
      <bottom style="thick"/>
    </border>
    <border>
      <left style="thick"/>
      <right>
        <color indexed="63"/>
      </right>
      <top>
        <color indexed="63"/>
      </top>
      <bottom style="thick"/>
    </border>
    <border>
      <left style="double"/>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ck"/>
      <top style="double"/>
      <bottom style="double"/>
    </border>
    <border>
      <left>
        <color indexed="63"/>
      </left>
      <right>
        <color indexed="63"/>
      </right>
      <top style="double"/>
      <bottom style="double"/>
    </border>
    <border>
      <left style="thick"/>
      <right>
        <color indexed="63"/>
      </right>
      <top style="double"/>
      <bottom style="double"/>
    </border>
    <border>
      <left style="thick"/>
      <right>
        <color indexed="63"/>
      </right>
      <top>
        <color indexed="63"/>
      </top>
      <bottom style="thin"/>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style="thick"/>
      <top style="thick"/>
      <bottom>
        <color indexed="63"/>
      </bottom>
    </border>
    <border>
      <left>
        <color indexed="63"/>
      </left>
      <right>
        <color indexed="63"/>
      </right>
      <top style="thick"/>
      <bottom>
        <color indexed="63"/>
      </bottom>
    </border>
    <border>
      <left style="thick"/>
      <right>
        <color indexed="63"/>
      </right>
      <top style="thick"/>
      <bottom>
        <color indexed="63"/>
      </bottom>
    </border>
    <border>
      <left style="medium"/>
      <right style="medium"/>
      <top style="medium"/>
      <bottom style="mediu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style="double"/>
      <bottom>
        <color indexed="63"/>
      </bottom>
    </border>
    <border>
      <left style="thin"/>
      <right style="thin"/>
      <top>
        <color indexed="63"/>
      </top>
      <bottom style="thin"/>
    </border>
    <border>
      <left style="thin"/>
      <right>
        <color indexed="63"/>
      </right>
      <top style="thin"/>
      <bottom style="thin"/>
    </border>
    <border>
      <left style="thin"/>
      <right style="thin"/>
      <top style="thin"/>
      <bottom/>
    </border>
    <border>
      <left style="thin"/>
      <right style="thin"/>
      <top/>
      <bottom/>
    </border>
    <border>
      <left>
        <color indexed="63"/>
      </left>
      <right style="thin"/>
      <top>
        <color indexed="63"/>
      </top>
      <bottom style="thin"/>
    </border>
    <border>
      <left>
        <color indexed="63"/>
      </left>
      <right>
        <color indexed="63"/>
      </right>
      <top style="medium"/>
      <bottom style="thin"/>
    </border>
    <border>
      <left style="medium"/>
      <right style="medium"/>
      <top style="medium"/>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thin">
        <color rgb="FF000000"/>
      </left>
      <right>
        <color indexed="63"/>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style="thin">
        <color rgb="FF000000"/>
      </bottom>
    </border>
    <border>
      <left style="thin"/>
      <right style="thin"/>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medium">
        <color indexed="8"/>
      </left>
      <right>
        <color indexed="63"/>
      </right>
      <top>
        <color indexed="63"/>
      </top>
      <bottom style="medium"/>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style="medium"/>
      <top>
        <color indexed="63"/>
      </top>
      <bottom style="thin">
        <color indexed="8"/>
      </bottom>
    </border>
    <border>
      <left>
        <color indexed="63"/>
      </left>
      <right style="thin">
        <color indexed="8"/>
      </right>
      <top>
        <color indexed="63"/>
      </top>
      <bottom style="thin">
        <color indexed="8"/>
      </bottom>
    </border>
    <border>
      <left style="medium"/>
      <right style="thin">
        <color indexed="8"/>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color indexed="8"/>
      </bottom>
    </border>
    <border>
      <left>
        <color indexed="63"/>
      </left>
      <right>
        <color indexed="63"/>
      </right>
      <top>
        <color indexed="63"/>
      </top>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color indexed="8"/>
      </left>
      <right>
        <color indexed="63"/>
      </right>
      <top style="medium"/>
      <bottom style="medium"/>
    </border>
    <border>
      <left>
        <color indexed="63"/>
      </left>
      <right>
        <color indexed="63"/>
      </right>
      <top style="thin"/>
      <bottom style="thin"/>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color indexed="63"/>
      </right>
      <top style="thin">
        <color indexed="8"/>
      </top>
      <bottom>
        <color indexed="63"/>
      </bottom>
    </border>
    <border>
      <left style="thin">
        <color indexed="8"/>
      </left>
      <right>
        <color indexed="63"/>
      </right>
      <top style="medium"/>
      <bottom style="thin"/>
    </border>
    <border>
      <left style="medium"/>
      <right style="thin"/>
      <top style="thin">
        <color indexed="8"/>
      </top>
      <bottom>
        <color indexed="63"/>
      </bottom>
    </border>
    <border>
      <left style="medium"/>
      <right style="thin"/>
      <top>
        <color indexed="63"/>
      </top>
      <bottom style="medium"/>
    </border>
    <border>
      <left style="thin"/>
      <right style="thin"/>
      <top style="thin"/>
      <bottom style="medium"/>
    </border>
    <border>
      <left style="thin"/>
      <right>
        <color indexed="63"/>
      </right>
      <top>
        <color indexed="63"/>
      </top>
      <bottom style="medium"/>
    </border>
    <border>
      <left>
        <color indexed="63"/>
      </left>
      <right style="medium"/>
      <top style="thin"/>
      <bottom>
        <color indexed="63"/>
      </bottom>
    </border>
    <border>
      <left style="thin">
        <color indexed="8"/>
      </left>
      <right>
        <color indexed="63"/>
      </right>
      <top style="medium"/>
      <bottom style="medium"/>
    </border>
    <border>
      <left>
        <color indexed="63"/>
      </left>
      <right style="thin"/>
      <top style="thin"/>
      <bottom style="thin"/>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color indexed="63"/>
      </right>
      <top style="thin">
        <color rgb="FF000000"/>
      </top>
      <bottom style="thin">
        <color rgb="FF0000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8" fillId="0" borderId="8" applyNumberFormat="0" applyFill="0" applyAlignment="0" applyProtection="0"/>
    <xf numFmtId="0" fontId="77" fillId="0" borderId="9" applyNumberFormat="0" applyFill="0" applyAlignment="0" applyProtection="0"/>
  </cellStyleXfs>
  <cellXfs count="752">
    <xf numFmtId="0" fontId="0" fillId="0" borderId="0" xfId="0" applyAlignment="1">
      <alignment/>
    </xf>
    <xf numFmtId="173" fontId="5" fillId="0" borderId="0" xfId="49" applyNumberFormat="1" applyFont="1" applyFill="1" applyAlignment="1" applyProtection="1">
      <alignment/>
      <protection hidden="1"/>
    </xf>
    <xf numFmtId="173" fontId="5" fillId="0" borderId="0" xfId="49" applyNumberFormat="1" applyFont="1" applyFill="1" applyBorder="1" applyAlignment="1" applyProtection="1">
      <alignment/>
      <protection/>
    </xf>
    <xf numFmtId="173" fontId="5" fillId="0" borderId="10" xfId="49" applyNumberFormat="1" applyFont="1" applyFill="1" applyBorder="1" applyAlignment="1" applyProtection="1">
      <alignment/>
      <protection/>
    </xf>
    <xf numFmtId="0" fontId="5" fillId="0" borderId="0" xfId="0" applyFont="1" applyFill="1" applyBorder="1" applyAlignment="1" applyProtection="1" quotePrefix="1">
      <alignment horizontal="left"/>
      <protection/>
    </xf>
    <xf numFmtId="173" fontId="5" fillId="0" borderId="10" xfId="49" applyNumberFormat="1" applyFont="1" applyFill="1" applyBorder="1" applyAlignment="1" applyProtection="1">
      <alignment horizontal="right"/>
      <protection/>
    </xf>
    <xf numFmtId="194" fontId="5" fillId="0" borderId="0" xfId="49" applyNumberFormat="1" applyFont="1" applyFill="1" applyAlignment="1" applyProtection="1">
      <alignment/>
      <protection hidden="1"/>
    </xf>
    <xf numFmtId="1" fontId="5" fillId="0" borderId="0" xfId="0" applyNumberFormat="1" applyFont="1" applyFill="1" applyAlignment="1" applyProtection="1">
      <alignment/>
      <protection hidden="1"/>
    </xf>
    <xf numFmtId="173" fontId="5" fillId="0" borderId="11" xfId="49" applyNumberFormat="1" applyFont="1" applyFill="1" applyBorder="1" applyAlignment="1" applyProtection="1">
      <alignment/>
      <protection hidden="1"/>
    </xf>
    <xf numFmtId="173" fontId="5" fillId="0" borderId="12" xfId="49" applyNumberFormat="1" applyFont="1" applyFill="1" applyBorder="1" applyAlignment="1" applyProtection="1">
      <alignment/>
      <protection hidden="1"/>
    </xf>
    <xf numFmtId="173" fontId="4" fillId="0" borderId="10" xfId="49" applyNumberFormat="1" applyFont="1" applyFill="1" applyBorder="1" applyAlignment="1" applyProtection="1">
      <alignment horizontal="center" vertical="center" wrapText="1"/>
      <protection/>
    </xf>
    <xf numFmtId="3" fontId="5" fillId="0" borderId="10" xfId="59" applyNumberFormat="1" applyFont="1" applyFill="1" applyBorder="1" applyAlignment="1" applyProtection="1">
      <alignment horizontal="right"/>
      <protection/>
    </xf>
    <xf numFmtId="10" fontId="5" fillId="0" borderId="12" xfId="49" applyNumberFormat="1" applyFont="1" applyFill="1" applyBorder="1" applyAlignment="1" applyProtection="1">
      <alignment/>
      <protection hidden="1"/>
    </xf>
    <xf numFmtId="173" fontId="5" fillId="0" borderId="10" xfId="49" applyNumberFormat="1" applyFont="1" applyFill="1" applyBorder="1" applyAlignment="1" applyProtection="1">
      <alignment horizontal="center"/>
      <protection/>
    </xf>
    <xf numFmtId="0" fontId="5" fillId="0" borderId="12" xfId="0" applyFont="1" applyFill="1" applyBorder="1" applyAlignment="1" applyProtection="1">
      <alignment wrapText="1"/>
      <protection hidden="1"/>
    </xf>
    <xf numFmtId="173" fontId="5" fillId="0" borderId="10" xfId="49" applyNumberFormat="1" applyFont="1" applyFill="1" applyBorder="1" applyAlignment="1" applyProtection="1">
      <alignment horizontal="right" wrapText="1"/>
      <protection/>
    </xf>
    <xf numFmtId="180" fontId="4" fillId="0" borderId="10" xfId="49" applyNumberFormat="1" applyFont="1" applyFill="1" applyBorder="1" applyAlignment="1" applyProtection="1">
      <alignment/>
      <protection/>
    </xf>
    <xf numFmtId="173" fontId="4" fillId="0" borderId="10" xfId="49" applyNumberFormat="1" applyFont="1" applyFill="1" applyBorder="1" applyAlignment="1" applyProtection="1">
      <alignment/>
      <protection/>
    </xf>
    <xf numFmtId="173" fontId="5" fillId="0" borderId="0" xfId="49" applyNumberFormat="1" applyFont="1" applyFill="1" applyBorder="1" applyAlignment="1" applyProtection="1">
      <alignment/>
      <protection hidden="1"/>
    </xf>
    <xf numFmtId="173" fontId="5" fillId="0" borderId="13" xfId="49" applyNumberFormat="1" applyFont="1" applyFill="1" applyBorder="1" applyAlignment="1" applyProtection="1">
      <alignment horizontal="center"/>
      <protection/>
    </xf>
    <xf numFmtId="0" fontId="0" fillId="0" borderId="0" xfId="0" applyAlignment="1" applyProtection="1">
      <alignment/>
      <protection/>
    </xf>
    <xf numFmtId="10" fontId="5" fillId="0" borderId="0" xfId="59" applyNumberFormat="1" applyFont="1" applyAlignment="1" applyProtection="1">
      <alignment horizontal="center"/>
      <protection locked="0"/>
    </xf>
    <xf numFmtId="3"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hidden="1"/>
    </xf>
    <xf numFmtId="187" fontId="4" fillId="0" borderId="0" xfId="49" applyNumberFormat="1" applyFont="1" applyAlignment="1" applyProtection="1">
      <alignment/>
      <protection hidden="1"/>
    </xf>
    <xf numFmtId="3" fontId="4" fillId="33" borderId="14" xfId="0" applyNumberFormat="1" applyFont="1" applyFill="1" applyBorder="1" applyAlignment="1" applyProtection="1">
      <alignment horizontal="center" vertical="center"/>
      <protection hidden="1"/>
    </xf>
    <xf numFmtId="170" fontId="4" fillId="33" borderId="14" xfId="53" applyNumberFormat="1" applyFont="1" applyFill="1" applyBorder="1" applyAlignment="1" applyProtection="1">
      <alignment horizontal="center" vertical="center"/>
      <protection hidden="1"/>
    </xf>
    <xf numFmtId="170" fontId="4" fillId="33" borderId="14" xfId="53" applyFont="1" applyFill="1" applyBorder="1" applyAlignment="1" applyProtection="1">
      <alignment horizontal="center" vertical="center"/>
      <protection hidden="1"/>
    </xf>
    <xf numFmtId="170" fontId="4" fillId="0" borderId="14" xfId="53" applyNumberFormat="1" applyFont="1" applyFill="1" applyBorder="1" applyAlignment="1" applyProtection="1">
      <alignment horizontal="center" vertical="center"/>
      <protection hidden="1" locked="0"/>
    </xf>
    <xf numFmtId="3" fontId="4" fillId="0" borderId="14" xfId="0" applyNumberFormat="1" applyFont="1" applyFill="1" applyBorder="1" applyAlignment="1" applyProtection="1">
      <alignment horizontal="center" vertical="center"/>
      <protection hidden="1" locked="0"/>
    </xf>
    <xf numFmtId="0" fontId="12" fillId="0" borderId="0" xfId="0" applyFont="1" applyAlignment="1" applyProtection="1">
      <alignment/>
      <protection hidden="1"/>
    </xf>
    <xf numFmtId="3" fontId="4" fillId="0" borderId="15" xfId="0" applyNumberFormat="1" applyFont="1" applyFill="1" applyBorder="1" applyAlignment="1" applyProtection="1">
      <alignment horizontal="center" vertical="center"/>
      <protection hidden="1"/>
    </xf>
    <xf numFmtId="0" fontId="0" fillId="0" borderId="0" xfId="0" applyAlignment="1" applyProtection="1">
      <alignment/>
      <protection locked="0"/>
    </xf>
    <xf numFmtId="0" fontId="4" fillId="0" borderId="15" xfId="0" applyFont="1" applyBorder="1" applyAlignment="1" applyProtection="1">
      <alignment horizontal="center" wrapText="1"/>
      <protection locked="0"/>
    </xf>
    <xf numFmtId="10" fontId="5" fillId="34" borderId="0" xfId="0" applyNumberFormat="1" applyFont="1" applyFill="1" applyAlignment="1" applyProtection="1">
      <alignment/>
      <protection locked="0"/>
    </xf>
    <xf numFmtId="0" fontId="5" fillId="0" borderId="0" xfId="0" applyFont="1" applyAlignment="1" applyProtection="1">
      <alignment/>
      <protection/>
    </xf>
    <xf numFmtId="0" fontId="2" fillId="0" borderId="0" xfId="46" applyAlignment="1" applyProtection="1">
      <alignment/>
      <protection locked="0"/>
    </xf>
    <xf numFmtId="0" fontId="2" fillId="0" borderId="0" xfId="46" applyAlignment="1" applyProtection="1">
      <alignment/>
      <protection/>
    </xf>
    <xf numFmtId="14" fontId="0" fillId="35" borderId="16" xfId="0" applyNumberFormat="1" applyFill="1" applyBorder="1" applyAlignment="1" applyProtection="1">
      <alignment/>
      <protection locked="0"/>
    </xf>
    <xf numFmtId="200" fontId="0" fillId="0" borderId="0" xfId="0" applyNumberFormat="1" applyAlignment="1" applyProtection="1">
      <alignment/>
      <protection locked="0"/>
    </xf>
    <xf numFmtId="0" fontId="0" fillId="35" borderId="16" xfId="0" applyFont="1" applyFill="1" applyBorder="1" applyAlignment="1" applyProtection="1">
      <alignment/>
      <protection locked="0"/>
    </xf>
    <xf numFmtId="10" fontId="0" fillId="0" borderId="0" xfId="0" applyNumberFormat="1" applyAlignment="1" applyProtection="1">
      <alignment/>
      <protection locked="0"/>
    </xf>
    <xf numFmtId="183" fontId="0" fillId="0" borderId="17" xfId="59" applyNumberFormat="1" applyFont="1" applyFill="1" applyBorder="1" applyAlignment="1" applyProtection="1">
      <alignment/>
      <protection/>
    </xf>
    <xf numFmtId="14" fontId="0" fillId="0" borderId="0" xfId="0" applyNumberFormat="1" applyAlignment="1" applyProtection="1">
      <alignment/>
      <protection locked="0"/>
    </xf>
    <xf numFmtId="0" fontId="0" fillId="0" borderId="0" xfId="0" applyNumberFormat="1" applyAlignment="1" applyProtection="1">
      <alignment/>
      <protection locked="0"/>
    </xf>
    <xf numFmtId="0" fontId="10" fillId="0" borderId="0" xfId="0" applyFont="1" applyAlignment="1" applyProtection="1">
      <alignment/>
      <protection/>
    </xf>
    <xf numFmtId="2" fontId="0" fillId="0" borderId="0" xfId="0" applyNumberFormat="1" applyAlignment="1" applyProtection="1">
      <alignment/>
      <protection locked="0"/>
    </xf>
    <xf numFmtId="4" fontId="0" fillId="0" borderId="0" xfId="0" applyNumberFormat="1" applyAlignment="1" applyProtection="1">
      <alignment/>
      <protection locked="0"/>
    </xf>
    <xf numFmtId="0" fontId="8" fillId="0" borderId="0" xfId="0" applyFont="1" applyFill="1" applyBorder="1" applyAlignment="1" applyProtection="1">
      <alignment horizontal="center"/>
      <protection/>
    </xf>
    <xf numFmtId="0" fontId="8" fillId="0" borderId="0" xfId="0" applyFont="1" applyAlignment="1" applyProtection="1">
      <alignment horizontal="center"/>
      <protection hidden="1"/>
    </xf>
    <xf numFmtId="3" fontId="4" fillId="0" borderId="0" xfId="0" applyNumberFormat="1" applyFont="1" applyFill="1" applyBorder="1" applyAlignment="1" applyProtection="1">
      <alignment horizontal="center" vertical="center"/>
      <protection hidden="1"/>
    </xf>
    <xf numFmtId="170" fontId="4" fillId="0" borderId="0" xfId="53" applyNumberFormat="1" applyFont="1" applyFill="1" applyBorder="1" applyAlignment="1" applyProtection="1">
      <alignment horizontal="center" vertical="center"/>
      <protection hidden="1"/>
    </xf>
    <xf numFmtId="4" fontId="0" fillId="0" borderId="0" xfId="0" applyNumberFormat="1" applyAlignment="1" applyProtection="1">
      <alignment/>
      <protection/>
    </xf>
    <xf numFmtId="173" fontId="5" fillId="0" borderId="0" xfId="49" applyNumberFormat="1" applyFont="1" applyFill="1" applyBorder="1" applyAlignment="1" applyProtection="1">
      <alignment horizontal="center"/>
      <protection/>
    </xf>
    <xf numFmtId="10" fontId="0" fillId="0" borderId="0" xfId="0" applyNumberFormat="1" applyAlignment="1" applyProtection="1">
      <alignment/>
      <protection/>
    </xf>
    <xf numFmtId="10" fontId="0" fillId="0" borderId="0" xfId="59" applyNumberFormat="1" applyFont="1" applyAlignment="1" applyProtection="1">
      <alignment/>
      <protection locked="0"/>
    </xf>
    <xf numFmtId="0" fontId="4" fillId="0" borderId="0" xfId="0" applyFont="1" applyBorder="1" applyAlignment="1" applyProtection="1">
      <alignment horizontal="center" wrapText="1"/>
      <protection locked="0"/>
    </xf>
    <xf numFmtId="0" fontId="5" fillId="0" borderId="0" xfId="0" applyFont="1" applyAlignment="1" applyProtection="1" quotePrefix="1">
      <alignment/>
      <protection/>
    </xf>
    <xf numFmtId="0" fontId="0" fillId="0" borderId="0" xfId="0" applyAlignment="1">
      <alignment wrapText="1"/>
    </xf>
    <xf numFmtId="0" fontId="0" fillId="0" borderId="18" xfId="0" applyBorder="1" applyAlignment="1">
      <alignment/>
    </xf>
    <xf numFmtId="0" fontId="14" fillId="0" borderId="19" xfId="0" applyFont="1" applyBorder="1" applyAlignment="1">
      <alignment horizontal="center"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14" fillId="0" borderId="23" xfId="0" applyFont="1" applyBorder="1" applyAlignment="1">
      <alignment horizontal="center" wrapText="1"/>
    </xf>
    <xf numFmtId="0" fontId="14" fillId="0" borderId="24" xfId="0" applyFont="1" applyBorder="1" applyAlignment="1">
      <alignment horizontal="center" wrapText="1"/>
    </xf>
    <xf numFmtId="0" fontId="14" fillId="0" borderId="25" xfId="0" applyFont="1" applyBorder="1" applyAlignment="1">
      <alignment horizontal="center" wrapText="1"/>
    </xf>
    <xf numFmtId="0" fontId="14" fillId="0" borderId="26" xfId="0" applyFont="1" applyBorder="1" applyAlignment="1">
      <alignment wrapText="1"/>
    </xf>
    <xf numFmtId="10" fontId="14" fillId="0" borderId="27" xfId="0" applyNumberFormat="1" applyFont="1" applyBorder="1" applyAlignment="1">
      <alignment horizontal="center" wrapText="1"/>
    </xf>
    <xf numFmtId="0" fontId="14" fillId="0" borderId="28" xfId="0" applyFont="1" applyBorder="1" applyAlignment="1">
      <alignment horizontal="center" wrapText="1"/>
    </xf>
    <xf numFmtId="0" fontId="14" fillId="0" borderId="29" xfId="0" applyFont="1" applyBorder="1" applyAlignment="1">
      <alignment horizontal="center" wrapText="1"/>
    </xf>
    <xf numFmtId="8" fontId="15" fillId="0" borderId="22" xfId="0" applyNumberFormat="1" applyFont="1" applyBorder="1" applyAlignment="1">
      <alignment horizontal="center" wrapText="1"/>
    </xf>
    <xf numFmtId="0" fontId="15" fillId="0" borderId="22" xfId="0" applyFont="1" applyBorder="1" applyAlignment="1">
      <alignment horizontal="center" wrapText="1"/>
    </xf>
    <xf numFmtId="0" fontId="14" fillId="0" borderId="23" xfId="0" applyFont="1" applyBorder="1" applyAlignment="1">
      <alignment horizontal="left" wrapText="1"/>
    </xf>
    <xf numFmtId="0" fontId="0" fillId="0" borderId="0" xfId="0" applyAlignment="1">
      <alignment/>
    </xf>
    <xf numFmtId="10" fontId="15" fillId="0" borderId="30" xfId="0" applyNumberFormat="1" applyFont="1" applyBorder="1" applyAlignment="1">
      <alignment horizontal="center" wrapText="1"/>
    </xf>
    <xf numFmtId="10" fontId="15" fillId="0" borderId="31" xfId="0" applyNumberFormat="1" applyFont="1" applyBorder="1" applyAlignment="1">
      <alignment horizontal="center" wrapText="1"/>
    </xf>
    <xf numFmtId="8" fontId="15" fillId="0" borderId="21" xfId="0" applyNumberFormat="1" applyFont="1" applyBorder="1" applyAlignment="1">
      <alignment horizontal="center" wrapText="1"/>
    </xf>
    <xf numFmtId="0" fontId="14" fillId="0" borderId="32" xfId="0" applyFont="1" applyBorder="1" applyAlignment="1">
      <alignment horizontal="left" vertical="top" wrapText="1"/>
    </xf>
    <xf numFmtId="10" fontId="15" fillId="0" borderId="31" xfId="59" applyNumberFormat="1" applyFont="1" applyBorder="1" applyAlignment="1">
      <alignment horizontal="center" wrapText="1"/>
    </xf>
    <xf numFmtId="10" fontId="15" fillId="0" borderId="21" xfId="59" applyNumberFormat="1" applyFont="1" applyBorder="1" applyAlignment="1">
      <alignment horizontal="center" wrapText="1"/>
    </xf>
    <xf numFmtId="0" fontId="0" fillId="0" borderId="32" xfId="0" applyBorder="1" applyAlignment="1">
      <alignment horizontal="left" vertical="top" wrapText="1"/>
    </xf>
    <xf numFmtId="0" fontId="15" fillId="0" borderId="33" xfId="0" applyFont="1" applyBorder="1" applyAlignment="1">
      <alignment horizontal="center" wrapText="1"/>
    </xf>
    <xf numFmtId="10" fontId="15" fillId="0" borderId="34" xfId="0" applyNumberFormat="1" applyFont="1" applyBorder="1" applyAlignment="1">
      <alignment horizontal="center" wrapText="1"/>
    </xf>
    <xf numFmtId="0" fontId="0" fillId="0" borderId="35" xfId="0" applyBorder="1" applyAlignment="1">
      <alignment horizontal="left" vertical="top" wrapText="1"/>
    </xf>
    <xf numFmtId="0" fontId="0" fillId="0" borderId="0" xfId="0" applyAlignment="1">
      <alignment horizontal="left" wrapText="1"/>
    </xf>
    <xf numFmtId="0" fontId="15" fillId="0" borderId="0" xfId="0" applyFont="1" applyBorder="1" applyAlignment="1">
      <alignment horizontal="left" wrapText="1"/>
    </xf>
    <xf numFmtId="0" fontId="0" fillId="0" borderId="10" xfId="0" applyBorder="1" applyAlignment="1">
      <alignment/>
    </xf>
    <xf numFmtId="0" fontId="15" fillId="0" borderId="36" xfId="0" applyFont="1" applyBorder="1" applyAlignment="1">
      <alignment horizontal="left" wrapText="1"/>
    </xf>
    <xf numFmtId="0" fontId="15" fillId="0" borderId="30" xfId="0" applyFont="1" applyBorder="1" applyAlignment="1">
      <alignment horizontal="left" wrapText="1"/>
    </xf>
    <xf numFmtId="0" fontId="15" fillId="0" borderId="0" xfId="0" applyFont="1" applyBorder="1" applyAlignment="1">
      <alignment horizontal="center" wrapText="1"/>
    </xf>
    <xf numFmtId="0" fontId="0" fillId="0" borderId="0" xfId="0" applyBorder="1" applyAlignment="1">
      <alignment/>
    </xf>
    <xf numFmtId="0" fontId="15" fillId="0" borderId="37" xfId="0" applyFont="1" applyBorder="1" applyAlignment="1">
      <alignment horizontal="left" vertical="top" wrapText="1"/>
    </xf>
    <xf numFmtId="0" fontId="15" fillId="0" borderId="38" xfId="0" applyFont="1" applyBorder="1" applyAlignment="1">
      <alignment horizontal="left" vertical="top" wrapText="1"/>
    </xf>
    <xf numFmtId="0" fontId="0" fillId="0" borderId="39" xfId="0" applyBorder="1" applyAlignment="1">
      <alignment/>
    </xf>
    <xf numFmtId="0" fontId="15" fillId="0" borderId="33" xfId="0" applyFont="1" applyBorder="1" applyAlignment="1">
      <alignment horizontal="left" wrapText="1"/>
    </xf>
    <xf numFmtId="0" fontId="0" fillId="0" borderId="40" xfId="0" applyBorder="1" applyAlignment="1">
      <alignment/>
    </xf>
    <xf numFmtId="0" fontId="17" fillId="0" borderId="41" xfId="0" applyFont="1" applyBorder="1" applyAlignment="1">
      <alignment horizontal="left" wrapText="1"/>
    </xf>
    <xf numFmtId="0" fontId="14" fillId="0" borderId="0" xfId="0" applyFont="1" applyBorder="1" applyAlignment="1">
      <alignment wrapText="1"/>
    </xf>
    <xf numFmtId="0" fontId="14" fillId="0" borderId="10" xfId="0" applyFont="1" applyBorder="1" applyAlignment="1">
      <alignment wrapText="1"/>
    </xf>
    <xf numFmtId="0" fontId="15" fillId="0" borderId="42" xfId="0" applyFont="1" applyBorder="1" applyAlignment="1">
      <alignment horizontal="center" wrapText="1"/>
    </xf>
    <xf numFmtId="0" fontId="0" fillId="0" borderId="43" xfId="0" applyBorder="1" applyAlignment="1">
      <alignment/>
    </xf>
    <xf numFmtId="0" fontId="0" fillId="0" borderId="0" xfId="0" applyBorder="1" applyAlignment="1">
      <alignment horizontal="center" wrapText="1"/>
    </xf>
    <xf numFmtId="0" fontId="15" fillId="0" borderId="44" xfId="0" applyFont="1" applyBorder="1" applyAlignment="1">
      <alignment horizontal="left" wrapText="1"/>
    </xf>
    <xf numFmtId="202" fontId="15" fillId="0" borderId="45" xfId="0" applyNumberFormat="1" applyFont="1" applyBorder="1" applyAlignment="1">
      <alignment horizontal="left" wrapText="1"/>
    </xf>
    <xf numFmtId="0" fontId="17" fillId="0" borderId="15" xfId="0" applyFont="1" applyBorder="1" applyAlignment="1">
      <alignment horizontal="left" wrapText="1"/>
    </xf>
    <xf numFmtId="0" fontId="0" fillId="0" borderId="15" xfId="0" applyBorder="1" applyAlignment="1">
      <alignment/>
    </xf>
    <xf numFmtId="0" fontId="0" fillId="0" borderId="0" xfId="0" applyNumberFormat="1" applyAlignment="1" applyProtection="1">
      <alignment/>
      <protection/>
    </xf>
    <xf numFmtId="0" fontId="5" fillId="0" borderId="0" xfId="59" applyNumberFormat="1" applyFont="1" applyAlignment="1" applyProtection="1">
      <alignment horizontal="center"/>
      <protection locked="0"/>
    </xf>
    <xf numFmtId="173" fontId="78" fillId="0" borderId="0" xfId="0" applyNumberFormat="1" applyFont="1" applyAlignment="1" applyProtection="1">
      <alignment/>
      <protection/>
    </xf>
    <xf numFmtId="200" fontId="0" fillId="0" borderId="0" xfId="0" applyNumberFormat="1" applyAlignment="1" applyProtection="1">
      <alignment/>
      <protection/>
    </xf>
    <xf numFmtId="0" fontId="1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200" fontId="0" fillId="0" borderId="15" xfId="0" applyNumberFormat="1" applyBorder="1" applyAlignment="1" applyProtection="1">
      <alignment/>
      <protection/>
    </xf>
    <xf numFmtId="0" fontId="0" fillId="0" borderId="15" xfId="0" applyBorder="1" applyAlignment="1" applyProtection="1">
      <alignment/>
      <protection/>
    </xf>
    <xf numFmtId="167" fontId="0" fillId="0" borderId="15" xfId="0" applyNumberFormat="1" applyBorder="1" applyAlignment="1" applyProtection="1">
      <alignment/>
      <protection/>
    </xf>
    <xf numFmtId="10" fontId="0" fillId="0" borderId="15" xfId="59" applyNumberFormat="1" applyFont="1" applyBorder="1" applyAlignment="1" applyProtection="1">
      <alignment horizontal="center"/>
      <protection/>
    </xf>
    <xf numFmtId="0" fontId="5" fillId="0" borderId="0" xfId="0" applyFont="1" applyAlignment="1" applyProtection="1">
      <alignment horizontal="left"/>
      <protection/>
    </xf>
    <xf numFmtId="0" fontId="0" fillId="0" borderId="0" xfId="0" applyAlignment="1" applyProtection="1">
      <alignment horizontal="centerContinuous"/>
      <protection/>
    </xf>
    <xf numFmtId="0" fontId="11" fillId="0" borderId="46" xfId="0" applyFont="1" applyBorder="1" applyAlignment="1" applyProtection="1">
      <alignment/>
      <protection/>
    </xf>
    <xf numFmtId="0" fontId="0" fillId="0" borderId="46" xfId="0" applyBorder="1" applyAlignment="1" applyProtection="1">
      <alignment/>
      <protection/>
    </xf>
    <xf numFmtId="0" fontId="0" fillId="0" borderId="0" xfId="0" applyFont="1" applyAlignment="1" applyProtection="1">
      <alignment/>
      <protection/>
    </xf>
    <xf numFmtId="10" fontId="0" fillId="0" borderId="0" xfId="59" applyNumberFormat="1" applyFont="1" applyAlignment="1" applyProtection="1">
      <alignment/>
      <protection/>
    </xf>
    <xf numFmtId="167" fontId="0" fillId="0" borderId="0" xfId="0" applyNumberFormat="1" applyBorder="1" applyAlignment="1" applyProtection="1">
      <alignment/>
      <protection/>
    </xf>
    <xf numFmtId="0" fontId="0" fillId="0" borderId="0" xfId="0" applyAlignment="1" applyProtection="1">
      <alignment horizontal="right"/>
      <protection/>
    </xf>
    <xf numFmtId="9" fontId="0" fillId="0" borderId="0" xfId="0" applyNumberFormat="1" applyAlignment="1" applyProtection="1">
      <alignment horizontal="right"/>
      <protection/>
    </xf>
    <xf numFmtId="174" fontId="0" fillId="0" borderId="0" xfId="59" applyNumberFormat="1" applyFont="1" applyAlignment="1" applyProtection="1">
      <alignment horizontal="right"/>
      <protection/>
    </xf>
    <xf numFmtId="174" fontId="0" fillId="0" borderId="15" xfId="59" applyNumberFormat="1" applyFont="1" applyBorder="1" applyAlignment="1" applyProtection="1">
      <alignment horizontal="center"/>
      <protection/>
    </xf>
    <xf numFmtId="187" fontId="4" fillId="0" borderId="0" xfId="0" applyNumberFormat="1" applyFont="1" applyFill="1" applyAlignment="1" applyProtection="1">
      <alignment horizontal="left"/>
      <protection/>
    </xf>
    <xf numFmtId="200" fontId="0" fillId="0" borderId="0" xfId="0" applyNumberFormat="1" applyAlignment="1" applyProtection="1">
      <alignment horizontal="centerContinuous"/>
      <protection/>
    </xf>
    <xf numFmtId="0" fontId="0" fillId="0" borderId="16" xfId="0" applyFont="1" applyBorder="1" applyAlignment="1" applyProtection="1">
      <alignment/>
      <protection/>
    </xf>
    <xf numFmtId="0" fontId="0" fillId="0" borderId="16" xfId="0" applyFont="1" applyBorder="1" applyAlignment="1" applyProtection="1">
      <alignment vertical="top"/>
      <protection/>
    </xf>
    <xf numFmtId="0" fontId="0" fillId="0" borderId="16" xfId="0" applyFont="1" applyFill="1" applyBorder="1" applyAlignment="1" applyProtection="1">
      <alignment wrapText="1"/>
      <protection/>
    </xf>
    <xf numFmtId="8" fontId="15" fillId="0" borderId="47" xfId="0" applyNumberFormat="1" applyFont="1" applyBorder="1" applyAlignment="1">
      <alignment horizontal="center" wrapText="1"/>
    </xf>
    <xf numFmtId="0" fontId="79" fillId="0" borderId="0" xfId="0" applyFont="1" applyAlignment="1">
      <alignment/>
    </xf>
    <xf numFmtId="0" fontId="0" fillId="0" borderId="0" xfId="0" applyFont="1" applyAlignment="1">
      <alignment/>
    </xf>
    <xf numFmtId="0" fontId="5" fillId="3" borderId="0" xfId="0" applyFont="1" applyFill="1" applyAlignment="1" applyProtection="1">
      <alignment/>
      <protection hidden="1" locked="0"/>
    </xf>
    <xf numFmtId="173" fontId="4" fillId="0" borderId="0" xfId="49" applyNumberFormat="1" applyFont="1" applyFill="1" applyBorder="1" applyAlignment="1" applyProtection="1">
      <alignment horizontal="center" vertical="center" wrapText="1"/>
      <protection/>
    </xf>
    <xf numFmtId="3" fontId="5" fillId="0" borderId="0" xfId="59" applyNumberFormat="1" applyFont="1" applyFill="1" applyBorder="1" applyAlignment="1" applyProtection="1">
      <alignment horizontal="right"/>
      <protection/>
    </xf>
    <xf numFmtId="173" fontId="4" fillId="0" borderId="0" xfId="49" applyNumberFormat="1" applyFont="1" applyFill="1" applyBorder="1" applyAlignment="1" applyProtection="1">
      <alignment/>
      <protection/>
    </xf>
    <xf numFmtId="173" fontId="5" fillId="36" borderId="0" xfId="49" applyNumberFormat="1" applyFont="1" applyFill="1" applyBorder="1" applyAlignment="1" applyProtection="1">
      <alignment horizontal="center"/>
      <protection/>
    </xf>
    <xf numFmtId="174" fontId="5" fillId="0" borderId="0" xfId="0" applyNumberFormat="1" applyFont="1" applyBorder="1" applyAlignment="1" applyProtection="1">
      <alignment horizontal="center"/>
      <protection hidden="1"/>
    </xf>
    <xf numFmtId="0" fontId="0" fillId="0" borderId="0" xfId="57" applyProtection="1">
      <alignment/>
      <protection hidden="1"/>
    </xf>
    <xf numFmtId="0" fontId="0" fillId="0" borderId="0" xfId="57" applyBorder="1" applyAlignment="1" applyProtection="1">
      <alignment horizontal="center" vertical="center" wrapText="1"/>
      <protection hidden="1"/>
    </xf>
    <xf numFmtId="0" fontId="9" fillId="2" borderId="0" xfId="57" applyFont="1" applyFill="1" applyAlignment="1">
      <alignment horizontal="center"/>
      <protection/>
    </xf>
    <xf numFmtId="0" fontId="0" fillId="0" borderId="0" xfId="57" applyFont="1">
      <alignment/>
      <protection/>
    </xf>
    <xf numFmtId="0" fontId="0" fillId="0" borderId="0" xfId="57">
      <alignment/>
      <protection/>
    </xf>
    <xf numFmtId="0" fontId="65" fillId="37" borderId="14" xfId="57" applyFont="1" applyFill="1" applyBorder="1" applyAlignment="1">
      <alignment horizontal="center" vertical="center" wrapText="1"/>
      <protection/>
    </xf>
    <xf numFmtId="0" fontId="65" fillId="37" borderId="48" xfId="57" applyFont="1" applyFill="1" applyBorder="1" applyAlignment="1">
      <alignment horizontal="center" vertical="center" wrapText="1"/>
      <protection/>
    </xf>
    <xf numFmtId="0" fontId="65" fillId="37" borderId="49" xfId="57" applyFont="1" applyFill="1" applyBorder="1" applyAlignment="1">
      <alignment horizontal="center" vertical="center" wrapText="1"/>
      <protection/>
    </xf>
    <xf numFmtId="0" fontId="80" fillId="37" borderId="0" xfId="57" applyFont="1" applyFill="1" applyBorder="1" applyAlignment="1">
      <alignment horizontal="center" vertical="center" wrapText="1"/>
      <protection/>
    </xf>
    <xf numFmtId="4" fontId="22" fillId="0" borderId="0" xfId="0" applyNumberFormat="1" applyFont="1" applyAlignment="1" applyProtection="1">
      <alignment horizontal="center"/>
      <protection hidden="1"/>
    </xf>
    <xf numFmtId="0" fontId="5" fillId="0" borderId="0" xfId="57" applyFont="1" applyProtection="1">
      <alignment/>
      <protection hidden="1"/>
    </xf>
    <xf numFmtId="0" fontId="5" fillId="34" borderId="0" xfId="57" applyFont="1" applyFill="1" applyProtection="1">
      <alignment/>
      <protection hidden="1"/>
    </xf>
    <xf numFmtId="0" fontId="5" fillId="34" borderId="0" xfId="57" applyFont="1" applyFill="1" applyProtection="1">
      <alignment/>
      <protection hidden="1" locked="0"/>
    </xf>
    <xf numFmtId="0" fontId="5" fillId="0" borderId="0" xfId="57" applyFont="1" applyProtection="1">
      <alignment/>
      <protection hidden="1" locked="0"/>
    </xf>
    <xf numFmtId="173" fontId="5" fillId="0" borderId="0" xfId="51" applyNumberFormat="1" applyFont="1" applyAlignment="1" applyProtection="1">
      <alignment/>
      <protection hidden="1"/>
    </xf>
    <xf numFmtId="173" fontId="5" fillId="34" borderId="0" xfId="51" applyNumberFormat="1" applyFont="1" applyFill="1" applyAlignment="1" applyProtection="1">
      <alignment/>
      <protection hidden="1"/>
    </xf>
    <xf numFmtId="0" fontId="0" fillId="0" borderId="0" xfId="57" applyProtection="1">
      <alignment/>
      <protection hidden="1" locked="0"/>
    </xf>
    <xf numFmtId="0" fontId="5" fillId="0" borderId="0" xfId="57" applyFont="1" applyAlignment="1" applyProtection="1">
      <alignment wrapText="1"/>
      <protection hidden="1"/>
    </xf>
    <xf numFmtId="0" fontId="5" fillId="34" borderId="0" xfId="57" applyFont="1" applyFill="1" applyAlignment="1" applyProtection="1">
      <alignment wrapText="1"/>
      <protection hidden="1"/>
    </xf>
    <xf numFmtId="173" fontId="5" fillId="0" borderId="0" xfId="51" applyNumberFormat="1" applyFont="1" applyFill="1" applyBorder="1" applyAlignment="1" applyProtection="1">
      <alignment horizontal="center"/>
      <protection hidden="1"/>
    </xf>
    <xf numFmtId="165" fontId="5" fillId="0" borderId="0" xfId="51" applyNumberFormat="1" applyFont="1" applyFill="1" applyBorder="1" applyAlignment="1" applyProtection="1">
      <alignment horizontal="centerContinuous"/>
      <protection hidden="1"/>
    </xf>
    <xf numFmtId="173" fontId="4" fillId="0" borderId="0" xfId="51" applyNumberFormat="1" applyFont="1" applyFill="1" applyBorder="1" applyAlignment="1" applyProtection="1">
      <alignment horizontal="right"/>
      <protection hidden="1"/>
    </xf>
    <xf numFmtId="165" fontId="5" fillId="0" borderId="0" xfId="51" applyNumberFormat="1" applyFont="1" applyFill="1" applyBorder="1" applyAlignment="1" applyProtection="1">
      <alignment horizontal="left"/>
      <protection hidden="1"/>
    </xf>
    <xf numFmtId="2" fontId="4" fillId="0" borderId="0" xfId="57" applyNumberFormat="1" applyFont="1" applyFill="1" applyBorder="1" applyProtection="1">
      <alignment/>
      <protection hidden="1"/>
    </xf>
    <xf numFmtId="0" fontId="5" fillId="0" borderId="0" xfId="57" applyFont="1" applyFill="1" applyBorder="1" applyProtection="1">
      <alignment/>
      <protection hidden="1"/>
    </xf>
    <xf numFmtId="0" fontId="0" fillId="0" borderId="0" xfId="57" applyBorder="1" applyProtection="1">
      <alignment/>
      <protection hidden="1"/>
    </xf>
    <xf numFmtId="0" fontId="4" fillId="0" borderId="0" xfId="57" applyFont="1" applyFill="1" applyBorder="1" applyProtection="1">
      <alignment/>
      <protection hidden="1"/>
    </xf>
    <xf numFmtId="165" fontId="5" fillId="0" borderId="0" xfId="51" applyNumberFormat="1" applyFont="1" applyFill="1" applyBorder="1" applyAlignment="1" applyProtection="1">
      <alignment horizontal="right"/>
      <protection hidden="1"/>
    </xf>
    <xf numFmtId="0" fontId="5" fillId="0" borderId="0" xfId="57" applyFont="1" applyFill="1" applyBorder="1" applyAlignment="1" applyProtection="1">
      <alignment horizontal="left"/>
      <protection hidden="1"/>
    </xf>
    <xf numFmtId="191" fontId="5" fillId="38" borderId="0" xfId="57" applyNumberFormat="1" applyFont="1" applyFill="1" applyProtection="1">
      <alignment/>
      <protection hidden="1" locked="0"/>
    </xf>
    <xf numFmtId="0" fontId="5" fillId="38" borderId="0" xfId="57" applyFont="1" applyFill="1" applyProtection="1">
      <alignment/>
      <protection hidden="1" locked="0"/>
    </xf>
    <xf numFmtId="0" fontId="0" fillId="38" borderId="0" xfId="57" applyFill="1" applyProtection="1">
      <alignment/>
      <protection hidden="1" locked="0"/>
    </xf>
    <xf numFmtId="0" fontId="0" fillId="38" borderId="0" xfId="57" applyFont="1" applyFill="1" applyProtection="1">
      <alignment/>
      <protection hidden="1" locked="0"/>
    </xf>
    <xf numFmtId="0" fontId="0" fillId="38" borderId="0" xfId="57" applyFill="1" applyProtection="1">
      <alignment/>
      <protection hidden="1"/>
    </xf>
    <xf numFmtId="0" fontId="5" fillId="2" borderId="0" xfId="57" applyFont="1" applyFill="1" applyAlignment="1" applyProtection="1">
      <alignment horizontal="right"/>
      <protection hidden="1" locked="0"/>
    </xf>
    <xf numFmtId="0" fontId="0" fillId="2" borderId="0" xfId="57" applyFill="1" applyProtection="1">
      <alignment/>
      <protection hidden="1" locked="0"/>
    </xf>
    <xf numFmtId="0" fontId="0" fillId="2" borderId="0" xfId="57" applyFill="1" applyProtection="1">
      <alignment/>
      <protection hidden="1"/>
    </xf>
    <xf numFmtId="188" fontId="5" fillId="2" borderId="0" xfId="55" applyNumberFormat="1" applyFont="1" applyFill="1" applyBorder="1" applyAlignment="1" applyProtection="1">
      <alignment/>
      <protection hidden="1" locked="0"/>
    </xf>
    <xf numFmtId="10" fontId="5" fillId="2" borderId="0" xfId="60" applyNumberFormat="1" applyFont="1" applyFill="1" applyBorder="1" applyAlignment="1" applyProtection="1">
      <alignment/>
      <protection hidden="1" locked="0"/>
    </xf>
    <xf numFmtId="0" fontId="5" fillId="2" borderId="0" xfId="57" applyFont="1" applyFill="1" applyBorder="1" applyAlignment="1" applyProtection="1">
      <alignment horizontal="left" vertical="center"/>
      <protection/>
    </xf>
    <xf numFmtId="0" fontId="5" fillId="38" borderId="0" xfId="57" applyFont="1" applyFill="1" applyProtection="1">
      <alignment/>
      <protection hidden="1"/>
    </xf>
    <xf numFmtId="173" fontId="5" fillId="0" borderId="50" xfId="51" applyNumberFormat="1" applyFont="1" applyBorder="1" applyAlignment="1" applyProtection="1">
      <alignment/>
      <protection hidden="1"/>
    </xf>
    <xf numFmtId="173" fontId="4" fillId="0" borderId="51" xfId="51" applyNumberFormat="1" applyFont="1" applyFill="1" applyBorder="1" applyAlignment="1" applyProtection="1">
      <alignment horizontal="right"/>
      <protection hidden="1"/>
    </xf>
    <xf numFmtId="173" fontId="5" fillId="0" borderId="51" xfId="51" applyNumberFormat="1" applyFont="1" applyBorder="1" applyAlignment="1" applyProtection="1">
      <alignment/>
      <protection hidden="1"/>
    </xf>
    <xf numFmtId="0" fontId="5" fillId="0" borderId="51" xfId="57" applyFont="1" applyBorder="1" applyProtection="1">
      <alignment/>
      <protection hidden="1"/>
    </xf>
    <xf numFmtId="0" fontId="5" fillId="0" borderId="52" xfId="57" applyFont="1" applyFill="1" applyBorder="1" applyProtection="1">
      <alignment/>
      <protection hidden="1"/>
    </xf>
    <xf numFmtId="171" fontId="9" fillId="3" borderId="0" xfId="51" applyFont="1" applyFill="1" applyAlignment="1">
      <alignment/>
    </xf>
    <xf numFmtId="0" fontId="5" fillId="3" borderId="0" xfId="57" applyFont="1" applyFill="1" applyProtection="1">
      <alignment/>
      <protection hidden="1" locked="0"/>
    </xf>
    <xf numFmtId="171" fontId="0" fillId="3" borderId="0" xfId="51" applyFont="1" applyFill="1" applyAlignment="1">
      <alignment/>
    </xf>
    <xf numFmtId="10" fontId="5" fillId="5" borderId="0" xfId="60" applyNumberFormat="1" applyFont="1" applyFill="1" applyBorder="1" applyAlignment="1" applyProtection="1">
      <alignment/>
      <protection hidden="1" locked="0"/>
    </xf>
    <xf numFmtId="0" fontId="5" fillId="5" borderId="0" xfId="57" applyFont="1" applyFill="1" applyBorder="1" applyAlignment="1" applyProtection="1">
      <alignment horizontal="left" vertical="center"/>
      <protection/>
    </xf>
    <xf numFmtId="173" fontId="5" fillId="0" borderId="53" xfId="51" applyNumberFormat="1" applyFont="1" applyBorder="1" applyAlignment="1" applyProtection="1">
      <alignment/>
      <protection hidden="1"/>
    </xf>
    <xf numFmtId="0" fontId="5" fillId="34" borderId="54" xfId="57" applyFont="1" applyFill="1" applyBorder="1" applyProtection="1">
      <alignment/>
      <protection hidden="1"/>
    </xf>
    <xf numFmtId="173" fontId="5" fillId="0" borderId="55" xfId="51" applyNumberFormat="1" applyFont="1" applyBorder="1" applyAlignment="1" applyProtection="1">
      <alignment/>
      <protection hidden="1"/>
    </xf>
    <xf numFmtId="0" fontId="5" fillId="0" borderId="55" xfId="57" applyFont="1" applyBorder="1" applyProtection="1">
      <alignment/>
      <protection hidden="1"/>
    </xf>
    <xf numFmtId="0" fontId="5" fillId="0" borderId="56" xfId="57" applyFont="1" applyBorder="1" applyProtection="1" quotePrefix="1">
      <alignment/>
      <protection hidden="1"/>
    </xf>
    <xf numFmtId="0" fontId="5" fillId="0" borderId="57" xfId="57" applyFont="1" applyFill="1" applyBorder="1" applyProtection="1">
      <alignment/>
      <protection hidden="1"/>
    </xf>
    <xf numFmtId="174" fontId="5" fillId="5" borderId="0" xfId="60" applyNumberFormat="1" applyFont="1" applyFill="1" applyBorder="1" applyAlignment="1" applyProtection="1">
      <alignment/>
      <protection hidden="1" locked="0"/>
    </xf>
    <xf numFmtId="173" fontId="4" fillId="0" borderId="53" xfId="51" applyNumberFormat="1" applyFont="1" applyFill="1" applyBorder="1" applyAlignment="1" applyProtection="1">
      <alignment horizontal="right"/>
      <protection hidden="1"/>
    </xf>
    <xf numFmtId="0" fontId="5" fillId="34" borderId="58" xfId="57" applyFont="1" applyFill="1" applyBorder="1" applyProtection="1">
      <alignment/>
      <protection hidden="1"/>
    </xf>
    <xf numFmtId="0" fontId="5" fillId="0" borderId="59" xfId="57" applyFont="1" applyFill="1" applyBorder="1" applyAlignment="1" applyProtection="1" quotePrefix="1">
      <alignment horizontal="left"/>
      <protection hidden="1"/>
    </xf>
    <xf numFmtId="0" fontId="0" fillId="0" borderId="57" xfId="57" applyBorder="1">
      <alignment/>
      <protection/>
    </xf>
    <xf numFmtId="0" fontId="5" fillId="38" borderId="0" xfId="57" applyFont="1" applyFill="1" applyAlignment="1" applyProtection="1">
      <alignment horizontal="center"/>
      <protection hidden="1" locked="0"/>
    </xf>
    <xf numFmtId="9" fontId="4" fillId="3" borderId="0" xfId="57" applyNumberFormat="1" applyFont="1" applyFill="1" applyProtection="1">
      <alignment/>
      <protection hidden="1" locked="0"/>
    </xf>
    <xf numFmtId="0" fontId="5" fillId="38" borderId="0" xfId="57" applyFont="1" applyFill="1" applyAlignment="1" applyProtection="1">
      <alignment horizontal="center" wrapText="1"/>
      <protection hidden="1" locked="0"/>
    </xf>
    <xf numFmtId="188" fontId="5" fillId="5" borderId="0" xfId="55" applyNumberFormat="1" applyFont="1" applyFill="1" applyBorder="1" applyAlignment="1" applyProtection="1">
      <alignment/>
      <protection hidden="1" locked="0"/>
    </xf>
    <xf numFmtId="173" fontId="0" fillId="3" borderId="0" xfId="51" applyNumberFormat="1" applyFont="1" applyFill="1" applyAlignment="1">
      <alignment/>
    </xf>
    <xf numFmtId="0" fontId="5" fillId="34" borderId="53" xfId="57" applyFont="1" applyFill="1" applyBorder="1" applyProtection="1">
      <alignment/>
      <protection hidden="1"/>
    </xf>
    <xf numFmtId="0" fontId="5" fillId="0" borderId="59" xfId="57" applyFont="1" applyFill="1" applyBorder="1" applyAlignment="1" applyProtection="1">
      <alignment horizontal="left"/>
      <protection hidden="1"/>
    </xf>
    <xf numFmtId="0" fontId="0" fillId="3" borderId="0" xfId="57" applyFill="1">
      <alignment/>
      <protection/>
    </xf>
    <xf numFmtId="0" fontId="9" fillId="3" borderId="0" xfId="57" applyFont="1" applyFill="1">
      <alignment/>
      <protection/>
    </xf>
    <xf numFmtId="0" fontId="5" fillId="3" borderId="60" xfId="57" applyFont="1" applyFill="1" applyBorder="1" applyProtection="1">
      <alignment/>
      <protection hidden="1" locked="0"/>
    </xf>
    <xf numFmtId="0" fontId="5" fillId="3" borderId="61" xfId="57" applyFont="1" applyFill="1" applyBorder="1" applyProtection="1">
      <alignment/>
      <protection hidden="1" locked="0"/>
    </xf>
    <xf numFmtId="205" fontId="5" fillId="3" borderId="0" xfId="57" applyNumberFormat="1" applyFont="1" applyFill="1" applyProtection="1">
      <alignment/>
      <protection hidden="1" locked="0"/>
    </xf>
    <xf numFmtId="204" fontId="4" fillId="2" borderId="0" xfId="51" applyNumberFormat="1" applyFont="1" applyFill="1" applyAlignment="1" applyProtection="1">
      <alignment/>
      <protection hidden="1" locked="0"/>
    </xf>
    <xf numFmtId="0" fontId="4" fillId="2" borderId="0" xfId="57" applyFont="1" applyFill="1" applyProtection="1">
      <alignment/>
      <protection hidden="1" locked="0"/>
    </xf>
    <xf numFmtId="0" fontId="5" fillId="3" borderId="62" xfId="57" applyFont="1" applyFill="1" applyBorder="1" applyProtection="1">
      <alignment/>
      <protection hidden="1" locked="0"/>
    </xf>
    <xf numFmtId="43" fontId="5" fillId="8" borderId="0" xfId="57" applyNumberFormat="1" applyFont="1" applyFill="1" applyProtection="1">
      <alignment/>
      <protection hidden="1" locked="0"/>
    </xf>
    <xf numFmtId="0" fontId="4" fillId="8" borderId="0" xfId="57" applyFont="1" applyFill="1" applyProtection="1">
      <alignment/>
      <protection hidden="1" locked="0"/>
    </xf>
    <xf numFmtId="0" fontId="5" fillId="0" borderId="59" xfId="57" applyFont="1" applyFill="1" applyBorder="1" applyProtection="1" quotePrefix="1">
      <alignment/>
      <protection hidden="1"/>
    </xf>
    <xf numFmtId="0" fontId="4" fillId="0" borderId="59" xfId="57" applyFont="1" applyFill="1" applyBorder="1" applyProtection="1">
      <alignment/>
      <protection hidden="1"/>
    </xf>
    <xf numFmtId="9" fontId="5" fillId="39" borderId="0" xfId="57" applyNumberFormat="1" applyFont="1" applyFill="1" applyAlignment="1" applyProtection="1">
      <alignment horizontal="center"/>
      <protection hidden="1" locked="0"/>
    </xf>
    <xf numFmtId="0" fontId="5" fillId="34" borderId="63" xfId="57" applyFont="1" applyFill="1" applyBorder="1" applyProtection="1">
      <alignment/>
      <protection hidden="1"/>
    </xf>
    <xf numFmtId="173" fontId="4" fillId="0" borderId="64" xfId="51" applyNumberFormat="1" applyFont="1" applyFill="1" applyBorder="1" applyAlignment="1" applyProtection="1">
      <alignment horizontal="right"/>
      <protection hidden="1"/>
    </xf>
    <xf numFmtId="173" fontId="9" fillId="0" borderId="65" xfId="51" applyNumberFormat="1" applyFont="1" applyBorder="1" applyAlignment="1" applyProtection="1">
      <alignment/>
      <protection hidden="1"/>
    </xf>
    <xf numFmtId="0" fontId="5" fillId="39" borderId="0" xfId="57" applyFont="1" applyFill="1" applyAlignment="1" applyProtection="1">
      <alignment horizontal="center"/>
      <protection hidden="1" locked="0"/>
    </xf>
    <xf numFmtId="173" fontId="9" fillId="0" borderId="59" xfId="51" applyNumberFormat="1" applyFont="1" applyFill="1" applyBorder="1" applyAlignment="1" applyProtection="1">
      <alignment horizontal="right"/>
      <protection hidden="1"/>
    </xf>
    <xf numFmtId="10" fontId="5" fillId="38" borderId="0" xfId="60" applyNumberFormat="1" applyFont="1" applyFill="1" applyAlignment="1" applyProtection="1">
      <alignment/>
      <protection hidden="1" locked="0"/>
    </xf>
    <xf numFmtId="0" fontId="4" fillId="38" borderId="0" xfId="57" applyFont="1" applyFill="1" applyAlignment="1" applyProtection="1">
      <alignment horizontal="center"/>
      <protection hidden="1" locked="0"/>
    </xf>
    <xf numFmtId="10" fontId="0" fillId="0" borderId="0" xfId="51" applyNumberFormat="1" applyFont="1" applyFill="1" applyBorder="1" applyAlignment="1" applyProtection="1">
      <alignment horizontal="center"/>
      <protection hidden="1"/>
    </xf>
    <xf numFmtId="173" fontId="9" fillId="0" borderId="59" xfId="51" applyNumberFormat="1" applyFont="1" applyBorder="1" applyAlignment="1" applyProtection="1">
      <alignment/>
      <protection hidden="1"/>
    </xf>
    <xf numFmtId="170" fontId="5" fillId="38" borderId="0" xfId="55" applyFont="1" applyFill="1" applyAlignment="1" applyProtection="1">
      <alignment/>
      <protection hidden="1" locked="0"/>
    </xf>
    <xf numFmtId="165" fontId="5" fillId="40" borderId="61" xfId="51" applyNumberFormat="1" applyFont="1" applyFill="1" applyBorder="1" applyAlignment="1" applyProtection="1">
      <alignment horizontal="centerContinuous" wrapText="1"/>
      <protection hidden="1" locked="0"/>
    </xf>
    <xf numFmtId="0" fontId="4" fillId="38" borderId="0" xfId="57" applyFont="1" applyFill="1" applyProtection="1">
      <alignment/>
      <protection hidden="1" locked="0"/>
    </xf>
    <xf numFmtId="173" fontId="4" fillId="0" borderId="0" xfId="51" applyNumberFormat="1" applyFont="1" applyFill="1" applyBorder="1" applyAlignment="1" applyProtection="1">
      <alignment horizontal="center"/>
      <protection hidden="1"/>
    </xf>
    <xf numFmtId="0" fontId="5" fillId="38" borderId="0" xfId="57" applyFont="1" applyFill="1" applyBorder="1" applyProtection="1">
      <alignment/>
      <protection hidden="1" locked="0"/>
    </xf>
    <xf numFmtId="0" fontId="5" fillId="38" borderId="40" xfId="57" applyFont="1" applyFill="1" applyBorder="1" applyProtection="1">
      <alignment/>
      <protection hidden="1" locked="0"/>
    </xf>
    <xf numFmtId="0" fontId="5" fillId="38" borderId="39" xfId="57" applyFont="1" applyFill="1" applyBorder="1" applyProtection="1">
      <alignment/>
      <protection hidden="1" locked="0"/>
    </xf>
    <xf numFmtId="0" fontId="4" fillId="40" borderId="39" xfId="57" applyFont="1" applyFill="1" applyBorder="1" applyProtection="1">
      <alignment/>
      <protection hidden="1" locked="0"/>
    </xf>
    <xf numFmtId="0" fontId="4" fillId="40" borderId="38" xfId="57" applyFont="1" applyFill="1" applyBorder="1" applyProtection="1">
      <alignment/>
      <protection hidden="1" locked="0"/>
    </xf>
    <xf numFmtId="188" fontId="0" fillId="0" borderId="0" xfId="57" applyNumberFormat="1" applyBorder="1" applyAlignment="1" applyProtection="1">
      <alignment horizontal="center"/>
      <protection hidden="1"/>
    </xf>
    <xf numFmtId="0" fontId="5" fillId="41" borderId="13" xfId="57" applyFont="1" applyFill="1" applyBorder="1" applyProtection="1">
      <alignment/>
      <protection hidden="1" locked="0"/>
    </xf>
    <xf numFmtId="0" fontId="5" fillId="41" borderId="18" xfId="57" applyFont="1" applyFill="1" applyBorder="1" applyProtection="1">
      <alignment/>
      <protection hidden="1" locked="0"/>
    </xf>
    <xf numFmtId="0" fontId="4" fillId="40" borderId="18" xfId="57" applyFont="1" applyFill="1" applyBorder="1" applyProtection="1">
      <alignment/>
      <protection hidden="1" locked="0"/>
    </xf>
    <xf numFmtId="0" fontId="4" fillId="40" borderId="36" xfId="57" applyFont="1" applyFill="1" applyBorder="1" applyProtection="1">
      <alignment/>
      <protection hidden="1" locked="0"/>
    </xf>
    <xf numFmtId="0" fontId="5" fillId="38" borderId="10" xfId="57" applyFont="1" applyFill="1" applyBorder="1" applyProtection="1">
      <alignment/>
      <protection hidden="1" locked="0"/>
    </xf>
    <xf numFmtId="0" fontId="4" fillId="38" borderId="37" xfId="57" applyFont="1" applyFill="1" applyBorder="1" applyProtection="1">
      <alignment/>
      <protection hidden="1" locked="0"/>
    </xf>
    <xf numFmtId="0" fontId="5" fillId="38" borderId="13" xfId="57" applyFont="1" applyFill="1" applyBorder="1" applyProtection="1">
      <alignment/>
      <protection hidden="1" locked="0"/>
    </xf>
    <xf numFmtId="0" fontId="5" fillId="38" borderId="18" xfId="57" applyFont="1" applyFill="1" applyBorder="1" applyProtection="1">
      <alignment/>
      <protection hidden="1" locked="0"/>
    </xf>
    <xf numFmtId="0" fontId="5" fillId="38" borderId="36" xfId="57" applyFont="1" applyFill="1" applyBorder="1" applyProtection="1">
      <alignment/>
      <protection hidden="1" locked="0"/>
    </xf>
    <xf numFmtId="188" fontId="0" fillId="0" borderId="15" xfId="57" applyNumberFormat="1" applyBorder="1" applyAlignment="1" applyProtection="1">
      <alignment horizontal="center"/>
      <protection hidden="1"/>
    </xf>
    <xf numFmtId="173" fontId="4" fillId="0" borderId="15" xfId="51" applyNumberFormat="1" applyFont="1" applyFill="1" applyBorder="1" applyAlignment="1" applyProtection="1">
      <alignment horizontal="right"/>
      <protection hidden="1"/>
    </xf>
    <xf numFmtId="173" fontId="9" fillId="0" borderId="66" xfId="51" applyNumberFormat="1" applyFont="1" applyBorder="1" applyAlignment="1" applyProtection="1">
      <alignment/>
      <protection hidden="1"/>
    </xf>
    <xf numFmtId="0" fontId="0" fillId="0" borderId="0" xfId="57" applyBorder="1" applyAlignment="1" applyProtection="1">
      <alignment horizontal="center"/>
      <protection hidden="1"/>
    </xf>
    <xf numFmtId="173" fontId="7" fillId="0" borderId="0" xfId="51" applyNumberFormat="1" applyFont="1" applyFill="1" applyBorder="1" applyAlignment="1" applyProtection="1">
      <alignment horizontal="left"/>
      <protection hidden="1"/>
    </xf>
    <xf numFmtId="10" fontId="0" fillId="0" borderId="0" xfId="57" applyNumberFormat="1" applyBorder="1" applyAlignment="1" applyProtection="1">
      <alignment horizontal="center"/>
      <protection hidden="1"/>
    </xf>
    <xf numFmtId="173" fontId="5" fillId="0" borderId="0" xfId="51" applyNumberFormat="1" applyFont="1" applyBorder="1" applyAlignment="1" applyProtection="1">
      <alignment/>
      <protection hidden="1"/>
    </xf>
    <xf numFmtId="171" fontId="5" fillId="38" borderId="0" xfId="51" applyFont="1" applyFill="1" applyAlignment="1" applyProtection="1">
      <alignment/>
      <protection hidden="1" locked="0"/>
    </xf>
    <xf numFmtId="0" fontId="12" fillId="0" borderId="0" xfId="57" applyFont="1" applyBorder="1" applyAlignment="1" applyProtection="1">
      <alignment horizontal="center"/>
      <protection hidden="1"/>
    </xf>
    <xf numFmtId="173" fontId="9" fillId="0" borderId="59" xfId="51" applyNumberFormat="1" applyFont="1" applyBorder="1" applyAlignment="1" applyProtection="1">
      <alignment horizontal="left" indent="1"/>
      <protection hidden="1"/>
    </xf>
    <xf numFmtId="0" fontId="5" fillId="0" borderId="0" xfId="57" applyFont="1" applyFill="1" applyProtection="1">
      <alignment/>
      <protection hidden="1" locked="0"/>
    </xf>
    <xf numFmtId="0" fontId="12" fillId="0" borderId="51" xfId="57" applyFont="1" applyBorder="1" applyAlignment="1" applyProtection="1">
      <alignment horizontal="center"/>
      <protection hidden="1"/>
    </xf>
    <xf numFmtId="0" fontId="5" fillId="0" borderId="0" xfId="57" applyFont="1" applyBorder="1" applyProtection="1">
      <alignment/>
      <protection hidden="1"/>
    </xf>
    <xf numFmtId="174" fontId="5" fillId="42" borderId="0" xfId="60" applyNumberFormat="1" applyFont="1" applyFill="1" applyAlignment="1" applyProtection="1">
      <alignment/>
      <protection hidden="1" locked="0"/>
    </xf>
    <xf numFmtId="170" fontId="5" fillId="42" borderId="0" xfId="55" applyFont="1" applyFill="1" applyAlignment="1" applyProtection="1">
      <alignment/>
      <protection hidden="1" locked="0"/>
    </xf>
    <xf numFmtId="0" fontId="5" fillId="38" borderId="38" xfId="57" applyFont="1" applyFill="1" applyBorder="1" applyProtection="1">
      <alignment/>
      <protection hidden="1" locked="0"/>
    </xf>
    <xf numFmtId="0" fontId="5" fillId="38" borderId="67" xfId="57" applyFont="1" applyFill="1" applyBorder="1" applyProtection="1">
      <alignment/>
      <protection hidden="1" locked="0"/>
    </xf>
    <xf numFmtId="171" fontId="5" fillId="38" borderId="67" xfId="51" applyFont="1" applyFill="1" applyBorder="1" applyAlignment="1" applyProtection="1">
      <alignment/>
      <protection hidden="1" locked="0"/>
    </xf>
    <xf numFmtId="0" fontId="5" fillId="38" borderId="68" xfId="57" applyFont="1" applyFill="1" applyBorder="1" applyProtection="1">
      <alignment/>
      <protection hidden="1" locked="0"/>
    </xf>
    <xf numFmtId="0" fontId="5" fillId="38" borderId="69" xfId="57" applyFont="1" applyFill="1" applyBorder="1" applyProtection="1">
      <alignment/>
      <protection hidden="1" locked="0"/>
    </xf>
    <xf numFmtId="0" fontId="5" fillId="38" borderId="44" xfId="57" applyFont="1" applyFill="1" applyBorder="1" applyProtection="1">
      <alignment/>
      <protection hidden="1" locked="0"/>
    </xf>
    <xf numFmtId="9" fontId="5" fillId="38" borderId="0" xfId="60" applyFont="1" applyFill="1" applyAlignment="1" applyProtection="1">
      <alignment/>
      <protection hidden="1" locked="0"/>
    </xf>
    <xf numFmtId="9" fontId="5" fillId="38" borderId="0" xfId="57" applyNumberFormat="1" applyFont="1" applyFill="1" applyProtection="1">
      <alignment/>
      <protection hidden="1" locked="0"/>
    </xf>
    <xf numFmtId="0" fontId="81" fillId="38" borderId="13" xfId="57" applyFont="1" applyFill="1" applyBorder="1" applyProtection="1">
      <alignment/>
      <protection hidden="1" locked="0"/>
    </xf>
    <xf numFmtId="171" fontId="5" fillId="38" borderId="13" xfId="51" applyFont="1" applyFill="1" applyBorder="1" applyAlignment="1" applyProtection="1">
      <alignment/>
      <protection hidden="1" locked="0"/>
    </xf>
    <xf numFmtId="0" fontId="81" fillId="38" borderId="0" xfId="57" applyFont="1" applyFill="1" applyProtection="1">
      <alignment/>
      <protection hidden="1" locked="0"/>
    </xf>
    <xf numFmtId="0" fontId="4" fillId="43" borderId="0" xfId="57" applyFont="1" applyFill="1" applyBorder="1" applyProtection="1">
      <alignment/>
      <protection hidden="1" locked="0"/>
    </xf>
    <xf numFmtId="9" fontId="0" fillId="0" borderId="0" xfId="57" applyNumberFormat="1" applyBorder="1" applyAlignment="1" applyProtection="1">
      <alignment horizontal="center"/>
      <protection hidden="1"/>
    </xf>
    <xf numFmtId="9" fontId="0" fillId="0" borderId="0" xfId="57" applyNumberFormat="1" applyFont="1" applyBorder="1" applyAlignment="1" applyProtection="1">
      <alignment horizontal="center" wrapText="1"/>
      <protection hidden="1"/>
    </xf>
    <xf numFmtId="171" fontId="5" fillId="38" borderId="0" xfId="51" applyFont="1" applyFill="1" applyBorder="1" applyAlignment="1" applyProtection="1">
      <alignment/>
      <protection hidden="1" locked="0"/>
    </xf>
    <xf numFmtId="171" fontId="5" fillId="38" borderId="0" xfId="51" applyFont="1" applyFill="1" applyAlignment="1" applyProtection="1">
      <alignment/>
      <protection locked="0"/>
    </xf>
    <xf numFmtId="173" fontId="9" fillId="0" borderId="59" xfId="51" applyNumberFormat="1" applyFont="1" applyBorder="1" applyAlignment="1" applyProtection="1">
      <alignment vertical="center"/>
      <protection hidden="1"/>
    </xf>
    <xf numFmtId="0" fontId="7" fillId="0" borderId="0" xfId="57" applyFont="1" applyFill="1" applyBorder="1" applyAlignment="1" applyProtection="1">
      <alignment horizontal="left"/>
      <protection/>
    </xf>
    <xf numFmtId="9" fontId="4" fillId="38" borderId="0" xfId="60" applyFont="1" applyFill="1" applyAlignment="1" applyProtection="1">
      <alignment/>
      <protection hidden="1" locked="0"/>
    </xf>
    <xf numFmtId="173" fontId="4" fillId="0" borderId="0" xfId="51" applyNumberFormat="1" applyFont="1" applyFill="1" applyBorder="1" applyAlignment="1" applyProtection="1">
      <alignment/>
      <protection hidden="1"/>
    </xf>
    <xf numFmtId="173" fontId="9" fillId="0" borderId="59" xfId="51" applyNumberFormat="1" applyFont="1" applyFill="1" applyBorder="1" applyAlignment="1" applyProtection="1">
      <alignment/>
      <protection hidden="1"/>
    </xf>
    <xf numFmtId="0" fontId="0" fillId="0" borderId="0" xfId="57" applyFont="1" applyBorder="1" applyAlignment="1" applyProtection="1">
      <alignment horizontal="center"/>
      <protection hidden="1"/>
    </xf>
    <xf numFmtId="166" fontId="5" fillId="38" borderId="0" xfId="57" applyNumberFormat="1" applyFont="1" applyFill="1" applyProtection="1">
      <alignment/>
      <protection hidden="1" locked="0"/>
    </xf>
    <xf numFmtId="173" fontId="5" fillId="0" borderId="0" xfId="51" applyNumberFormat="1" applyFont="1" applyFill="1" applyBorder="1" applyAlignment="1" applyProtection="1">
      <alignment/>
      <protection hidden="1"/>
    </xf>
    <xf numFmtId="173" fontId="9" fillId="0" borderId="59" xfId="51" applyNumberFormat="1" applyFont="1" applyFill="1" applyBorder="1" applyAlignment="1" applyProtection="1">
      <alignment/>
      <protection hidden="1"/>
    </xf>
    <xf numFmtId="0" fontId="5" fillId="38" borderId="0" xfId="57" applyFont="1" applyFill="1" applyProtection="1">
      <alignment/>
      <protection locked="0"/>
    </xf>
    <xf numFmtId="0" fontId="1" fillId="0" borderId="0" xfId="57" applyFont="1" applyFill="1" applyBorder="1" applyAlignment="1" applyProtection="1">
      <alignment horizontal="left"/>
      <protection hidden="1"/>
    </xf>
    <xf numFmtId="0" fontId="9" fillId="0" borderId="59" xfId="57" applyFont="1" applyFill="1" applyBorder="1" applyAlignment="1" applyProtection="1">
      <alignment horizontal="left"/>
      <protection hidden="1"/>
    </xf>
    <xf numFmtId="0" fontId="5" fillId="0" borderId="57" xfId="57" applyFont="1" applyBorder="1" applyProtection="1">
      <alignment/>
      <protection hidden="1"/>
    </xf>
    <xf numFmtId="9" fontId="5" fillId="34" borderId="0" xfId="60" applyFont="1" applyFill="1" applyAlignment="1" applyProtection="1">
      <alignment/>
      <protection hidden="1" locked="0"/>
    </xf>
    <xf numFmtId="10" fontId="5" fillId="34" borderId="0" xfId="60" applyNumberFormat="1" applyFont="1" applyFill="1" applyAlignment="1" applyProtection="1">
      <alignment/>
      <protection hidden="1" locked="0"/>
    </xf>
    <xf numFmtId="0" fontId="5" fillId="34" borderId="70" xfId="57" applyFont="1" applyFill="1" applyBorder="1" applyProtection="1">
      <alignment/>
      <protection hidden="1"/>
    </xf>
    <xf numFmtId="0" fontId="1" fillId="0" borderId="71" xfId="57" applyFont="1" applyFill="1" applyBorder="1" applyAlignment="1" applyProtection="1">
      <alignment horizontal="left"/>
      <protection hidden="1"/>
    </xf>
    <xf numFmtId="0" fontId="9" fillId="0" borderId="72" xfId="57" applyFont="1" applyFill="1" applyBorder="1" applyAlignment="1" applyProtection="1">
      <alignment horizontal="left"/>
      <protection hidden="1"/>
    </xf>
    <xf numFmtId="188" fontId="5" fillId="34" borderId="0" xfId="57" applyNumberFormat="1" applyFont="1" applyFill="1" applyProtection="1">
      <alignment/>
      <protection hidden="1" locked="0"/>
    </xf>
    <xf numFmtId="7" fontId="5" fillId="0" borderId="0" xfId="57" applyNumberFormat="1" applyFont="1" applyBorder="1" applyAlignment="1" applyProtection="1">
      <alignment horizontal="center" vertical="center"/>
      <protection hidden="1" locked="0"/>
    </xf>
    <xf numFmtId="0" fontId="10" fillId="0" borderId="0" xfId="57" applyFont="1" applyBorder="1" applyAlignment="1" applyProtection="1">
      <alignment horizontal="left"/>
      <protection hidden="1"/>
    </xf>
    <xf numFmtId="10" fontId="82" fillId="0" borderId="0" xfId="60" applyNumberFormat="1" applyFont="1" applyFill="1" applyBorder="1" applyAlignment="1" applyProtection="1">
      <alignment horizontal="left" vertical="center"/>
      <protection hidden="1"/>
    </xf>
    <xf numFmtId="173" fontId="7" fillId="0" borderId="0" xfId="51" applyNumberFormat="1" applyFont="1" applyBorder="1" applyAlignment="1" applyProtection="1">
      <alignment/>
      <protection hidden="1"/>
    </xf>
    <xf numFmtId="0" fontId="10" fillId="0" borderId="0" xfId="57" applyFont="1" applyBorder="1" applyProtection="1">
      <alignment/>
      <protection hidden="1"/>
    </xf>
    <xf numFmtId="173" fontId="5" fillId="0" borderId="0" xfId="51" applyNumberFormat="1" applyFont="1" applyFill="1" applyAlignment="1" applyProtection="1">
      <alignment/>
      <protection hidden="1"/>
    </xf>
    <xf numFmtId="173" fontId="5" fillId="0" borderId="53" xfId="51" applyNumberFormat="1" applyFont="1" applyFill="1" applyBorder="1" applyAlignment="1" applyProtection="1">
      <alignment/>
      <protection hidden="1"/>
    </xf>
    <xf numFmtId="0" fontId="8" fillId="0" borderId="0" xfId="57" applyFont="1" applyFill="1" applyBorder="1" applyAlignment="1" applyProtection="1">
      <alignment horizontal="left"/>
      <protection hidden="1"/>
    </xf>
    <xf numFmtId="0" fontId="4" fillId="0" borderId="0" xfId="57" applyFont="1" applyFill="1" applyBorder="1" applyAlignment="1" applyProtection="1">
      <alignment horizontal="left"/>
      <protection/>
    </xf>
    <xf numFmtId="166" fontId="5" fillId="0" borderId="73" xfId="60" applyNumberFormat="1" applyFont="1" applyFill="1" applyBorder="1" applyAlignment="1" applyProtection="1">
      <alignment horizontal="center" vertical="center"/>
      <protection hidden="1" locked="0"/>
    </xf>
    <xf numFmtId="173" fontId="4" fillId="0" borderId="0" xfId="51" applyNumberFormat="1" applyFont="1" applyBorder="1" applyAlignment="1" applyProtection="1">
      <alignment/>
      <protection hidden="1"/>
    </xf>
    <xf numFmtId="0" fontId="0" fillId="0" borderId="0" xfId="57" applyFont="1" applyBorder="1" applyProtection="1">
      <alignment/>
      <protection hidden="1"/>
    </xf>
    <xf numFmtId="7" fontId="5" fillId="0" borderId="73" xfId="57" applyNumberFormat="1" applyFont="1" applyBorder="1" applyAlignment="1" applyProtection="1">
      <alignment horizontal="center" vertical="center"/>
      <protection hidden="1" locked="0"/>
    </xf>
    <xf numFmtId="0" fontId="10" fillId="0" borderId="0" xfId="57" applyFont="1" applyBorder="1" applyAlignment="1" applyProtection="1">
      <alignment horizontal="center"/>
      <protection hidden="1" locked="0"/>
    </xf>
    <xf numFmtId="0" fontId="10" fillId="0" borderId="0" xfId="57" applyFont="1" applyBorder="1" applyAlignment="1" applyProtection="1">
      <alignment horizontal="center"/>
      <protection hidden="1"/>
    </xf>
    <xf numFmtId="0" fontId="5" fillId="0" borderId="0" xfId="57" applyFont="1" applyBorder="1" applyAlignment="1" applyProtection="1">
      <alignment horizontal="center"/>
      <protection hidden="1"/>
    </xf>
    <xf numFmtId="187" fontId="4" fillId="0" borderId="0" xfId="51" applyNumberFormat="1" applyFont="1" applyBorder="1" applyAlignment="1" applyProtection="1">
      <alignment horizontal="left"/>
      <protection hidden="1"/>
    </xf>
    <xf numFmtId="0" fontId="19" fillId="0" borderId="0" xfId="57" applyFont="1" applyBorder="1" applyAlignment="1" applyProtection="1">
      <alignment/>
      <protection hidden="1" locked="0"/>
    </xf>
    <xf numFmtId="173" fontId="5" fillId="0" borderId="74" xfId="51" applyNumberFormat="1" applyFont="1" applyBorder="1" applyAlignment="1" applyProtection="1">
      <alignment/>
      <protection hidden="1"/>
    </xf>
    <xf numFmtId="173" fontId="5" fillId="0" borderId="75" xfId="51" applyNumberFormat="1" applyFont="1" applyBorder="1" applyAlignment="1" applyProtection="1">
      <alignment/>
      <protection hidden="1"/>
    </xf>
    <xf numFmtId="0" fontId="5" fillId="0" borderId="75" xfId="57" applyFont="1" applyBorder="1" applyProtection="1">
      <alignment/>
      <protection hidden="1"/>
    </xf>
    <xf numFmtId="0" fontId="5" fillId="0" borderId="76" xfId="57" applyFont="1" applyBorder="1" applyProtection="1">
      <alignment/>
      <protection hidden="1"/>
    </xf>
    <xf numFmtId="0" fontId="5" fillId="0" borderId="0" xfId="57" applyFont="1" applyFill="1" applyProtection="1">
      <alignment/>
      <protection hidden="1"/>
    </xf>
    <xf numFmtId="0" fontId="5" fillId="3" borderId="12" xfId="57" applyFont="1" applyFill="1" applyBorder="1" applyAlignment="1" applyProtection="1">
      <alignment horizontal="center"/>
      <protection hidden="1" locked="0"/>
    </xf>
    <xf numFmtId="198" fontId="0" fillId="0" borderId="0" xfId="0" applyNumberFormat="1" applyAlignment="1" applyProtection="1">
      <alignment/>
      <protection/>
    </xf>
    <xf numFmtId="1" fontId="0" fillId="0" borderId="0" xfId="0" applyNumberFormat="1" applyAlignment="1" applyProtection="1">
      <alignment/>
      <protection/>
    </xf>
    <xf numFmtId="171" fontId="5" fillId="3" borderId="11" xfId="49" applyFont="1" applyFill="1" applyBorder="1" applyAlignment="1" applyProtection="1">
      <alignment/>
      <protection hidden="1" locked="0"/>
    </xf>
    <xf numFmtId="10" fontId="5" fillId="3" borderId="77" xfId="59" applyNumberFormat="1" applyFont="1" applyFill="1" applyBorder="1" applyAlignment="1" applyProtection="1">
      <alignment horizontal="center"/>
      <protection hidden="1" locked="0"/>
    </xf>
    <xf numFmtId="171" fontId="5" fillId="3" borderId="77" xfId="49" applyFont="1" applyFill="1" applyBorder="1" applyAlignment="1" applyProtection="1">
      <alignment/>
      <protection hidden="1" locked="0"/>
    </xf>
    <xf numFmtId="173" fontId="5" fillId="39" borderId="0" xfId="51" applyNumberFormat="1" applyFont="1" applyFill="1" applyAlignment="1" applyProtection="1">
      <alignment/>
      <protection hidden="1"/>
    </xf>
    <xf numFmtId="173" fontId="4" fillId="39" borderId="16" xfId="51" applyNumberFormat="1" applyFont="1" applyFill="1" applyBorder="1" applyAlignment="1" applyProtection="1">
      <alignment horizontal="center"/>
      <protection hidden="1"/>
    </xf>
    <xf numFmtId="0" fontId="0" fillId="39" borderId="16" xfId="0" applyFont="1" applyFill="1" applyBorder="1" applyAlignment="1" applyProtection="1">
      <alignment horizontal="center" vertical="center"/>
      <protection hidden="1" locked="0"/>
    </xf>
    <xf numFmtId="0" fontId="83" fillId="39" borderId="16" xfId="0" applyFont="1" applyFill="1" applyBorder="1" applyAlignment="1" applyProtection="1">
      <alignment horizontal="center" vertical="center"/>
      <protection hidden="1" locked="0"/>
    </xf>
    <xf numFmtId="173" fontId="4" fillId="39" borderId="78" xfId="51" applyNumberFormat="1" applyFont="1" applyFill="1" applyBorder="1" applyAlignment="1" applyProtection="1">
      <alignment/>
      <protection hidden="1"/>
    </xf>
    <xf numFmtId="0" fontId="4" fillId="39" borderId="16" xfId="0" applyFont="1" applyFill="1" applyBorder="1" applyAlignment="1" applyProtection="1">
      <alignment horizontal="center"/>
      <protection hidden="1" locked="0"/>
    </xf>
    <xf numFmtId="1" fontId="5" fillId="0" borderId="79" xfId="51" applyNumberFormat="1" applyFont="1" applyBorder="1" applyAlignment="1" applyProtection="1">
      <alignment horizontal="center"/>
      <protection hidden="1"/>
    </xf>
    <xf numFmtId="173" fontId="5" fillId="39" borderId="79" xfId="51" applyNumberFormat="1" applyFont="1" applyFill="1" applyBorder="1" applyAlignment="1" applyProtection="1">
      <alignment horizontal="center"/>
      <protection hidden="1"/>
    </xf>
    <xf numFmtId="173" fontId="5" fillId="39" borderId="79" xfId="51" applyNumberFormat="1" applyFont="1" applyFill="1" applyBorder="1" applyAlignment="1" applyProtection="1">
      <alignment/>
      <protection hidden="1"/>
    </xf>
    <xf numFmtId="174" fontId="5" fillId="39" borderId="11" xfId="60" applyNumberFormat="1" applyFont="1" applyFill="1" applyBorder="1" applyAlignment="1" applyProtection="1">
      <alignment horizontal="center"/>
      <protection hidden="1"/>
    </xf>
    <xf numFmtId="171" fontId="5" fillId="39" borderId="11" xfId="51" applyFont="1" applyFill="1" applyBorder="1" applyAlignment="1" applyProtection="1">
      <alignment horizontal="center"/>
      <protection hidden="1"/>
    </xf>
    <xf numFmtId="1" fontId="5" fillId="0" borderId="80" xfId="51" applyNumberFormat="1" applyFont="1" applyBorder="1" applyAlignment="1" applyProtection="1">
      <alignment horizontal="center"/>
      <protection hidden="1"/>
    </xf>
    <xf numFmtId="173" fontId="5" fillId="39" borderId="80" xfId="51" applyNumberFormat="1" applyFont="1" applyFill="1" applyBorder="1" applyAlignment="1" applyProtection="1">
      <alignment horizontal="center"/>
      <protection hidden="1"/>
    </xf>
    <xf numFmtId="173" fontId="5" fillId="39" borderId="80" xfId="51" applyNumberFormat="1" applyFont="1" applyFill="1" applyBorder="1" applyAlignment="1" applyProtection="1">
      <alignment/>
      <protection hidden="1"/>
    </xf>
    <xf numFmtId="174" fontId="5" fillId="39" borderId="12" xfId="60" applyNumberFormat="1" applyFont="1" applyFill="1" applyBorder="1" applyAlignment="1" applyProtection="1">
      <alignment horizontal="center"/>
      <protection hidden="1"/>
    </xf>
    <xf numFmtId="171" fontId="5" fillId="39" borderId="12" xfId="51" applyFont="1" applyFill="1" applyBorder="1" applyAlignment="1" applyProtection="1">
      <alignment horizontal="center"/>
      <protection hidden="1"/>
    </xf>
    <xf numFmtId="1" fontId="5" fillId="0" borderId="77" xfId="51" applyNumberFormat="1" applyFont="1" applyBorder="1" applyAlignment="1" applyProtection="1">
      <alignment horizontal="center"/>
      <protection hidden="1"/>
    </xf>
    <xf numFmtId="173" fontId="5" fillId="39" borderId="77" xfId="51" applyNumberFormat="1" applyFont="1" applyFill="1" applyBorder="1" applyAlignment="1" applyProtection="1">
      <alignment/>
      <protection hidden="1"/>
    </xf>
    <xf numFmtId="174" fontId="5" fillId="39" borderId="81" xfId="60" applyNumberFormat="1" applyFont="1" applyFill="1" applyBorder="1" applyAlignment="1" applyProtection="1">
      <alignment horizontal="center"/>
      <protection hidden="1"/>
    </xf>
    <xf numFmtId="171" fontId="5" fillId="39" borderId="81" xfId="51" applyFont="1" applyFill="1" applyBorder="1" applyAlignment="1" applyProtection="1">
      <alignment horizontal="center"/>
      <protection hidden="1"/>
    </xf>
    <xf numFmtId="10" fontId="5" fillId="0" borderId="0" xfId="57" applyNumberFormat="1" applyFont="1" applyBorder="1" applyAlignment="1" applyProtection="1">
      <alignment horizontal="center"/>
      <protection hidden="1"/>
    </xf>
    <xf numFmtId="0" fontId="52" fillId="0" borderId="0" xfId="0" applyFont="1" applyAlignment="1">
      <alignment/>
    </xf>
    <xf numFmtId="0" fontId="52" fillId="0" borderId="0" xfId="0" applyFont="1" applyFill="1" applyBorder="1" applyAlignment="1">
      <alignment vertical="center" wrapText="1"/>
    </xf>
    <xf numFmtId="0" fontId="5" fillId="0" borderId="0" xfId="57" applyFont="1" applyFill="1" applyBorder="1" applyAlignment="1" applyProtection="1">
      <alignment horizontal="center"/>
      <protection hidden="1"/>
    </xf>
    <xf numFmtId="173" fontId="5" fillId="0" borderId="0" xfId="51" applyNumberFormat="1" applyFont="1" applyBorder="1" applyAlignment="1" applyProtection="1">
      <alignment horizontal="center"/>
      <protection hidden="1"/>
    </xf>
    <xf numFmtId="0" fontId="5" fillId="0" borderId="0" xfId="57" applyFont="1" applyAlignment="1" applyProtection="1">
      <alignment horizontal="center"/>
      <protection hidden="1"/>
    </xf>
    <xf numFmtId="173" fontId="19" fillId="0" borderId="0" xfId="51" applyNumberFormat="1" applyFont="1" applyFill="1" applyBorder="1" applyAlignment="1" applyProtection="1">
      <alignment/>
      <protection hidden="1"/>
    </xf>
    <xf numFmtId="171" fontId="83" fillId="3" borderId="0" xfId="51" applyFont="1" applyFill="1" applyAlignment="1">
      <alignment/>
    </xf>
    <xf numFmtId="4" fontId="4" fillId="2" borderId="15" xfId="0" applyNumberFormat="1" applyFont="1" applyFill="1" applyBorder="1" applyAlignment="1" applyProtection="1">
      <alignment horizontal="center" wrapText="1"/>
      <protection locked="0"/>
    </xf>
    <xf numFmtId="0" fontId="4" fillId="2" borderId="15" xfId="0" applyFont="1" applyFill="1" applyBorder="1" applyAlignment="1" applyProtection="1">
      <alignment horizontal="center" wrapText="1"/>
      <protection locked="0"/>
    </xf>
    <xf numFmtId="171" fontId="5" fillId="0" borderId="0" xfId="49" applyFont="1" applyAlignment="1" applyProtection="1">
      <alignment horizontal="center"/>
      <protection/>
    </xf>
    <xf numFmtId="0" fontId="25" fillId="2" borderId="82" xfId="0" applyFont="1" applyFill="1" applyBorder="1" applyAlignment="1" applyProtection="1">
      <alignment horizontal="center" wrapText="1"/>
      <protection/>
    </xf>
    <xf numFmtId="0" fontId="5" fillId="2" borderId="0" xfId="57" applyFont="1" applyFill="1" applyProtection="1">
      <alignment/>
      <protection hidden="1" locked="0"/>
    </xf>
    <xf numFmtId="0" fontId="5" fillId="39" borderId="79" xfId="0" applyFont="1" applyFill="1" applyBorder="1" applyAlignment="1" applyProtection="1">
      <alignment horizontal="center"/>
      <protection hidden="1"/>
    </xf>
    <xf numFmtId="10" fontId="82" fillId="39" borderId="77" xfId="60" applyNumberFormat="1" applyFont="1" applyFill="1" applyBorder="1" applyAlignment="1" applyProtection="1">
      <alignment horizontal="center"/>
      <protection hidden="1"/>
    </xf>
    <xf numFmtId="10" fontId="84" fillId="32" borderId="16" xfId="59" applyNumberFormat="1" applyFont="1" applyFill="1" applyBorder="1" applyAlignment="1" applyProtection="1">
      <alignment horizontal="right"/>
      <protection locked="0"/>
    </xf>
    <xf numFmtId="0" fontId="5" fillId="0" borderId="0" xfId="57" applyFont="1" applyAlignment="1" applyProtection="1">
      <alignment horizontal="right"/>
      <protection hidden="1"/>
    </xf>
    <xf numFmtId="0" fontId="0" fillId="0" borderId="0" xfId="0" applyFont="1" applyAlignment="1" applyProtection="1">
      <alignment/>
      <protection locked="0"/>
    </xf>
    <xf numFmtId="0" fontId="5" fillId="7" borderId="0" xfId="57" applyFont="1" applyFill="1" applyProtection="1">
      <alignment/>
      <protection hidden="1" locked="0"/>
    </xf>
    <xf numFmtId="0" fontId="5" fillId="7" borderId="83" xfId="57" applyFont="1" applyFill="1" applyBorder="1" applyProtection="1">
      <alignment/>
      <protection hidden="1" locked="0"/>
    </xf>
    <xf numFmtId="0" fontId="4" fillId="44" borderId="18" xfId="57" applyFont="1" applyFill="1" applyBorder="1" applyProtection="1">
      <alignment/>
      <protection hidden="1" locked="0"/>
    </xf>
    <xf numFmtId="171" fontId="5" fillId="38" borderId="0" xfId="49" applyFont="1" applyFill="1" applyAlignment="1" applyProtection="1">
      <alignment/>
      <protection hidden="1" locked="0"/>
    </xf>
    <xf numFmtId="43" fontId="0" fillId="0" borderId="0" xfId="0" applyNumberFormat="1" applyAlignment="1" applyProtection="1">
      <alignment/>
      <protection/>
    </xf>
    <xf numFmtId="10" fontId="82" fillId="39" borderId="0" xfId="59" applyNumberFormat="1" applyFont="1" applyFill="1" applyAlignment="1" applyProtection="1">
      <alignment horizontal="center"/>
      <protection hidden="1" locked="0"/>
    </xf>
    <xf numFmtId="174" fontId="5" fillId="0" borderId="0" xfId="0" applyNumberFormat="1" applyFont="1" applyAlignment="1" applyProtection="1">
      <alignment horizontal="center"/>
      <protection hidden="1"/>
    </xf>
    <xf numFmtId="170" fontId="4" fillId="0" borderId="0" xfId="55" applyNumberFormat="1" applyFont="1" applyFill="1" applyBorder="1" applyAlignment="1" applyProtection="1">
      <alignment horizontal="center" vertical="center"/>
      <protection hidden="1"/>
    </xf>
    <xf numFmtId="170" fontId="4" fillId="0" borderId="15" xfId="55" applyNumberFormat="1" applyFont="1" applyFill="1" applyBorder="1" applyAlignment="1" applyProtection="1">
      <alignment horizontal="center" vertical="center"/>
      <protection hidden="1"/>
    </xf>
    <xf numFmtId="171" fontId="5" fillId="0" borderId="0" xfId="0" applyNumberFormat="1" applyFont="1" applyFill="1" applyAlignment="1" applyProtection="1">
      <alignment/>
      <protection/>
    </xf>
    <xf numFmtId="171" fontId="5" fillId="0" borderId="0" xfId="53" applyNumberFormat="1" applyFont="1" applyFill="1" applyAlignment="1" applyProtection="1">
      <alignment/>
      <protection/>
    </xf>
    <xf numFmtId="0" fontId="26" fillId="0" borderId="0" xfId="0" applyFont="1" applyAlignment="1" applyProtection="1">
      <alignment horizontal="left"/>
      <protection/>
    </xf>
    <xf numFmtId="0" fontId="5" fillId="0" borderId="0" xfId="0" applyFont="1" applyAlignment="1" applyProtection="1">
      <alignment horizontal="center" wrapText="1"/>
      <protection/>
    </xf>
    <xf numFmtId="17" fontId="5" fillId="0" borderId="0" xfId="0" applyNumberFormat="1" applyFont="1" applyAlignment="1" applyProtection="1">
      <alignment/>
      <protection/>
    </xf>
    <xf numFmtId="0" fontId="5" fillId="0" borderId="0" xfId="0" applyFont="1" applyAlignment="1">
      <alignment/>
    </xf>
    <xf numFmtId="0" fontId="5" fillId="0" borderId="0" xfId="0" applyFont="1" applyAlignment="1" applyProtection="1">
      <alignment horizontal="center"/>
      <protection/>
    </xf>
    <xf numFmtId="0" fontId="27" fillId="2" borderId="0" xfId="0" applyFont="1" applyFill="1" applyAlignment="1" applyProtection="1">
      <alignment/>
      <protection/>
    </xf>
    <xf numFmtId="186" fontId="5" fillId="2" borderId="0" xfId="0" applyNumberFormat="1" applyFont="1" applyFill="1" applyAlignment="1" applyProtection="1">
      <alignment horizontal="center"/>
      <protection hidden="1" locked="0"/>
    </xf>
    <xf numFmtId="0" fontId="19" fillId="39" borderId="0" xfId="0" applyFont="1" applyFill="1" applyAlignment="1" applyProtection="1">
      <alignment/>
      <protection/>
    </xf>
    <xf numFmtId="208" fontId="5" fillId="39" borderId="0" xfId="0" applyNumberFormat="1" applyFont="1" applyFill="1" applyAlignment="1" applyProtection="1">
      <alignment/>
      <protection/>
    </xf>
    <xf numFmtId="10" fontId="9" fillId="6" borderId="0" xfId="59" applyNumberFormat="1" applyFont="1" applyFill="1" applyAlignment="1" applyProtection="1">
      <alignment horizontal="center"/>
      <protection locked="0"/>
    </xf>
    <xf numFmtId="10" fontId="0" fillId="0" borderId="0" xfId="59" applyNumberFormat="1" applyFont="1" applyFill="1" applyAlignment="1" applyProtection="1">
      <alignment horizontal="center"/>
      <protection locked="0"/>
    </xf>
    <xf numFmtId="3" fontId="85" fillId="45" borderId="0" xfId="0" applyNumberFormat="1" applyFont="1" applyFill="1" applyAlignment="1" applyProtection="1">
      <alignment horizontal="center"/>
      <protection/>
    </xf>
    <xf numFmtId="10" fontId="0" fillId="0" borderId="0" xfId="0" applyNumberFormat="1" applyAlignment="1" applyProtection="1">
      <alignment horizontal="center"/>
      <protection/>
    </xf>
    <xf numFmtId="187" fontId="4" fillId="0" borderId="0" xfId="51" applyNumberFormat="1" applyFont="1" applyBorder="1" applyAlignment="1" applyProtection="1">
      <alignment horizontal="left"/>
      <protection hidden="1" locked="0"/>
    </xf>
    <xf numFmtId="0" fontId="0" fillId="7" borderId="0" xfId="0" applyFont="1" applyFill="1" applyAlignment="1" applyProtection="1">
      <alignment horizontal="center"/>
      <protection/>
    </xf>
    <xf numFmtId="0" fontId="22" fillId="7" borderId="0" xfId="0" applyFont="1" applyFill="1" applyAlignment="1">
      <alignment/>
    </xf>
    <xf numFmtId="0" fontId="9" fillId="7" borderId="0" xfId="0" applyFont="1" applyFill="1" applyAlignment="1">
      <alignment/>
    </xf>
    <xf numFmtId="0" fontId="8" fillId="0" borderId="0" xfId="0" applyFont="1" applyFill="1" applyBorder="1" applyAlignment="1" applyProtection="1">
      <alignment horizontal="left"/>
      <protection hidden="1"/>
    </xf>
    <xf numFmtId="0" fontId="5" fillId="0" borderId="0" xfId="0" applyFont="1" applyBorder="1" applyAlignment="1" applyProtection="1">
      <alignment/>
      <protection hidden="1"/>
    </xf>
    <xf numFmtId="0" fontId="5" fillId="0" borderId="0" xfId="0" applyFont="1" applyAlignment="1" applyProtection="1">
      <alignment/>
      <protection hidden="1"/>
    </xf>
    <xf numFmtId="0" fontId="5" fillId="34" borderId="53" xfId="0" applyFont="1" applyFill="1" applyBorder="1" applyAlignment="1" applyProtection="1">
      <alignment/>
      <protection hidden="1"/>
    </xf>
    <xf numFmtId="0" fontId="19" fillId="0" borderId="0" xfId="0" applyFont="1" applyFill="1" applyBorder="1" applyAlignment="1" applyProtection="1">
      <alignment horizontal="left" vertical="top"/>
      <protection hidden="1"/>
    </xf>
    <xf numFmtId="0" fontId="5" fillId="39" borderId="0" xfId="0" applyFont="1" applyFill="1" applyAlignment="1" applyProtection="1">
      <alignment/>
      <protection hidden="1"/>
    </xf>
    <xf numFmtId="173" fontId="5" fillId="39" borderId="16" xfId="51" applyNumberFormat="1" applyFont="1" applyFill="1" applyBorder="1" applyAlignment="1" applyProtection="1">
      <alignment/>
      <protection hidden="1"/>
    </xf>
    <xf numFmtId="0" fontId="5" fillId="39" borderId="16" xfId="0" applyFont="1" applyFill="1" applyBorder="1" applyAlignment="1" applyProtection="1">
      <alignment/>
      <protection hidden="1" locked="0"/>
    </xf>
    <xf numFmtId="0" fontId="5" fillId="39" borderId="16" xfId="0" applyFont="1" applyFill="1" applyBorder="1" applyAlignment="1" applyProtection="1">
      <alignment/>
      <protection hidden="1"/>
    </xf>
    <xf numFmtId="173" fontId="5" fillId="7" borderId="0" xfId="51" applyNumberFormat="1" applyFont="1" applyFill="1" applyAlignment="1" applyProtection="1">
      <alignment/>
      <protection hidden="1"/>
    </xf>
    <xf numFmtId="0" fontId="5" fillId="7" borderId="0" xfId="57" applyFont="1" applyFill="1" applyProtection="1">
      <alignment/>
      <protection hidden="1"/>
    </xf>
    <xf numFmtId="0" fontId="4" fillId="0" borderId="0" xfId="0" applyFont="1" applyFill="1" applyBorder="1" applyAlignment="1" applyProtection="1">
      <alignment horizontal="left"/>
      <protection/>
    </xf>
    <xf numFmtId="166" fontId="5" fillId="0" borderId="0" xfId="60" applyNumberFormat="1" applyFont="1" applyFill="1" applyBorder="1" applyAlignment="1" applyProtection="1">
      <alignment horizontal="center" vertical="center"/>
      <protection hidden="1" locked="0"/>
    </xf>
    <xf numFmtId="173" fontId="4" fillId="0" borderId="0" xfId="49" applyNumberFormat="1" applyFont="1" applyFill="1" applyBorder="1" applyAlignment="1" applyProtection="1">
      <alignment horizontal="center"/>
      <protection hidden="1"/>
    </xf>
    <xf numFmtId="3" fontId="0" fillId="0" borderId="0" xfId="0" applyNumberFormat="1" applyAlignment="1" applyProtection="1">
      <alignment horizontal="center"/>
      <protection hidden="1"/>
    </xf>
    <xf numFmtId="0" fontId="5" fillId="0" borderId="0" xfId="0" applyFont="1" applyFill="1" applyBorder="1" applyAlignment="1" applyProtection="1" quotePrefix="1">
      <alignment/>
      <protection hidden="1"/>
    </xf>
    <xf numFmtId="3" fontId="0" fillId="0" borderId="0" xfId="0" applyNumberFormat="1" applyAlignment="1" applyProtection="1">
      <alignment horizontal="left"/>
      <protection hidden="1"/>
    </xf>
    <xf numFmtId="0" fontId="5" fillId="0" borderId="0" xfId="0" applyFont="1" applyAlignment="1" applyProtection="1" quotePrefix="1">
      <alignment/>
      <protection hidden="1"/>
    </xf>
    <xf numFmtId="0" fontId="5" fillId="0" borderId="0" xfId="0" applyFont="1" applyFill="1" applyBorder="1" applyAlignment="1" applyProtection="1" quotePrefix="1">
      <alignment horizontal="left"/>
      <protection hidden="1"/>
    </xf>
    <xf numFmtId="0" fontId="0" fillId="0" borderId="0" xfId="0" applyBorder="1" applyAlignment="1" applyProtection="1">
      <alignment/>
      <protection hidden="1"/>
    </xf>
    <xf numFmtId="173" fontId="5" fillId="0" borderId="0" xfId="0" applyNumberFormat="1" applyFont="1" applyAlignment="1" applyProtection="1">
      <alignment/>
      <protection hidden="1"/>
    </xf>
    <xf numFmtId="0" fontId="5" fillId="0" borderId="0" xfId="0" applyFont="1" applyAlignment="1" applyProtection="1">
      <alignment/>
      <protection hidden="1"/>
    </xf>
    <xf numFmtId="171" fontId="5" fillId="39" borderId="0" xfId="49" applyFont="1" applyFill="1" applyAlignment="1" applyProtection="1">
      <alignment horizontal="center"/>
      <protection hidden="1" locked="0"/>
    </xf>
    <xf numFmtId="191" fontId="5" fillId="46" borderId="0" xfId="0" applyNumberFormat="1" applyFont="1" applyFill="1" applyAlignment="1" applyProtection="1">
      <alignment/>
      <protection hidden="1" locked="0"/>
    </xf>
    <xf numFmtId="191" fontId="86" fillId="39" borderId="0" xfId="0" applyNumberFormat="1" applyFont="1" applyFill="1" applyAlignment="1" applyProtection="1">
      <alignment/>
      <protection hidden="1" locked="0"/>
    </xf>
    <xf numFmtId="173" fontId="22" fillId="0" borderId="59" xfId="51" applyNumberFormat="1" applyFont="1" applyBorder="1" applyAlignment="1" applyProtection="1">
      <alignment/>
      <protection hidden="1"/>
    </xf>
    <xf numFmtId="10" fontId="5" fillId="47" borderId="11" xfId="60" applyNumberFormat="1" applyFont="1" applyFill="1" applyBorder="1" applyAlignment="1" applyProtection="1">
      <alignment horizontal="center"/>
      <protection hidden="1"/>
    </xf>
    <xf numFmtId="2" fontId="5" fillId="47" borderId="11" xfId="51" applyNumberFormat="1" applyFont="1" applyFill="1" applyBorder="1" applyAlignment="1" applyProtection="1">
      <alignment horizontal="center"/>
      <protection hidden="1"/>
    </xf>
    <xf numFmtId="10" fontId="5" fillId="47" borderId="12" xfId="60" applyNumberFormat="1" applyFont="1" applyFill="1" applyBorder="1" applyAlignment="1" applyProtection="1">
      <alignment horizontal="center"/>
      <protection hidden="1"/>
    </xf>
    <xf numFmtId="2" fontId="5" fillId="47" borderId="12" xfId="51" applyNumberFormat="1" applyFont="1" applyFill="1" applyBorder="1" applyAlignment="1" applyProtection="1">
      <alignment horizontal="center"/>
      <protection hidden="1"/>
    </xf>
    <xf numFmtId="10" fontId="5" fillId="47" borderId="81" xfId="60" applyNumberFormat="1" applyFont="1" applyFill="1" applyBorder="1" applyAlignment="1" applyProtection="1">
      <alignment horizontal="center"/>
      <protection hidden="1"/>
    </xf>
    <xf numFmtId="2" fontId="5" fillId="47" borderId="81" xfId="51" applyNumberFormat="1" applyFont="1" applyFill="1" applyBorder="1" applyAlignment="1" applyProtection="1">
      <alignment horizontal="center"/>
      <protection hidden="1"/>
    </xf>
    <xf numFmtId="0" fontId="0" fillId="47" borderId="16" xfId="0" applyFont="1" applyFill="1" applyBorder="1" applyAlignment="1" applyProtection="1">
      <alignment horizontal="center" vertical="center"/>
      <protection hidden="1" locked="0"/>
    </xf>
    <xf numFmtId="10" fontId="5" fillId="38" borderId="0" xfId="57" applyNumberFormat="1" applyFont="1" applyFill="1" applyProtection="1">
      <alignment/>
      <protection hidden="1" locked="0"/>
    </xf>
    <xf numFmtId="0" fontId="5" fillId="19" borderId="0" xfId="0" applyFont="1" applyFill="1" applyAlignment="1" applyProtection="1">
      <alignment/>
      <protection hidden="1"/>
    </xf>
    <xf numFmtId="0" fontId="5" fillId="19" borderId="0" xfId="0" applyFont="1" applyFill="1" applyAlignment="1" applyProtection="1">
      <alignment/>
      <protection hidden="1" locked="0"/>
    </xf>
    <xf numFmtId="9" fontId="82" fillId="19" borderId="0" xfId="0" applyNumberFormat="1" applyFont="1" applyFill="1" applyAlignment="1" applyProtection="1">
      <alignment horizontal="center"/>
      <protection hidden="1" locked="0"/>
    </xf>
    <xf numFmtId="188" fontId="0" fillId="0" borderId="0" xfId="57" applyNumberFormat="1" applyBorder="1" applyAlignment="1" applyProtection="1">
      <alignment/>
      <protection hidden="1"/>
    </xf>
    <xf numFmtId="10" fontId="0" fillId="0" borderId="0" xfId="59" applyNumberFormat="1" applyFont="1" applyBorder="1" applyAlignment="1" applyProtection="1">
      <alignment vertical="center" wrapText="1"/>
      <protection hidden="1"/>
    </xf>
    <xf numFmtId="3" fontId="9" fillId="0" borderId="0" xfId="0" applyNumberFormat="1" applyFont="1" applyAlignment="1" applyProtection="1">
      <alignment horizontal="left"/>
      <protection hidden="1"/>
    </xf>
    <xf numFmtId="0" fontId="4" fillId="0" borderId="82" xfId="0" applyFont="1" applyFill="1" applyBorder="1" applyAlignment="1" applyProtection="1">
      <alignment horizontal="center" wrapText="1"/>
      <protection hidden="1"/>
    </xf>
    <xf numFmtId="0" fontId="5" fillId="0" borderId="18" xfId="0" applyFont="1" applyFill="1" applyBorder="1" applyAlignment="1" applyProtection="1">
      <alignment horizontal="center"/>
      <protection hidden="1"/>
    </xf>
    <xf numFmtId="173" fontId="4" fillId="0" borderId="18" xfId="49" applyNumberFormat="1" applyFont="1" applyFill="1" applyBorder="1" applyAlignment="1" applyProtection="1">
      <alignment horizontal="center"/>
      <protection hidden="1"/>
    </xf>
    <xf numFmtId="0" fontId="4" fillId="0" borderId="18" xfId="0" applyFont="1" applyFill="1" applyBorder="1" applyAlignment="1" applyProtection="1">
      <alignment horizontal="center" wrapText="1"/>
      <protection hidden="1"/>
    </xf>
    <xf numFmtId="0" fontId="5" fillId="0" borderId="84" xfId="0" applyFont="1" applyFill="1" applyBorder="1" applyAlignment="1" applyProtection="1">
      <alignment/>
      <protection hidden="1"/>
    </xf>
    <xf numFmtId="0" fontId="5" fillId="0" borderId="84" xfId="0" applyFont="1" applyFill="1" applyBorder="1" applyAlignment="1" applyProtection="1">
      <alignment wrapText="1"/>
      <protection hidden="1"/>
    </xf>
    <xf numFmtId="0" fontId="77" fillId="0" borderId="85" xfId="0" applyFont="1" applyFill="1" applyBorder="1" applyAlignment="1">
      <alignment horizontal="center"/>
    </xf>
    <xf numFmtId="0" fontId="77" fillId="0" borderId="16" xfId="0" applyFont="1" applyFill="1" applyBorder="1" applyAlignment="1">
      <alignment vertical="center" wrapText="1"/>
    </xf>
    <xf numFmtId="14" fontId="77" fillId="0" borderId="86" xfId="0" applyNumberFormat="1" applyFont="1" applyFill="1" applyBorder="1" applyAlignment="1">
      <alignment horizontal="center"/>
    </xf>
    <xf numFmtId="0" fontId="5" fillId="0" borderId="87" xfId="0" applyFont="1" applyFill="1" applyBorder="1" applyAlignment="1" applyProtection="1">
      <alignment/>
      <protection hidden="1"/>
    </xf>
    <xf numFmtId="194" fontId="5" fillId="0" borderId="88" xfId="49" applyNumberFormat="1" applyFont="1" applyFill="1" applyBorder="1" applyAlignment="1" applyProtection="1">
      <alignment/>
      <protection hidden="1"/>
    </xf>
    <xf numFmtId="173" fontId="5" fillId="0" borderId="88" xfId="49" applyNumberFormat="1" applyFont="1" applyFill="1" applyBorder="1" applyAlignment="1" applyProtection="1">
      <alignment/>
      <protection hidden="1"/>
    </xf>
    <xf numFmtId="1" fontId="5" fillId="0" borderId="88" xfId="0" applyNumberFormat="1" applyFont="1" applyFill="1" applyBorder="1" applyAlignment="1" applyProtection="1">
      <alignment/>
      <protection hidden="1"/>
    </xf>
    <xf numFmtId="10" fontId="5" fillId="0" borderId="89" xfId="49" applyNumberFormat="1" applyFont="1" applyFill="1" applyBorder="1" applyAlignment="1" applyProtection="1">
      <alignment/>
      <protection hidden="1"/>
    </xf>
    <xf numFmtId="173" fontId="4" fillId="0" borderId="90" xfId="49" applyNumberFormat="1" applyFont="1" applyFill="1" applyBorder="1" applyAlignment="1" applyProtection="1">
      <alignment/>
      <protection/>
    </xf>
    <xf numFmtId="10" fontId="11" fillId="0" borderId="0" xfId="57" applyNumberFormat="1" applyFont="1" applyBorder="1" applyAlignment="1" applyProtection="1">
      <alignment horizontal="center" vertical="center"/>
      <protection hidden="1"/>
    </xf>
    <xf numFmtId="0" fontId="29" fillId="0" borderId="0" xfId="57" applyFont="1" applyBorder="1" applyAlignment="1" applyProtection="1">
      <alignment horizontal="center" vertical="center" wrapText="1"/>
      <protection hidden="1"/>
    </xf>
    <xf numFmtId="0" fontId="9" fillId="0" borderId="82" xfId="0" applyFont="1" applyFill="1" applyBorder="1" applyAlignment="1" applyProtection="1">
      <alignment horizontal="center" wrapText="1"/>
      <protection hidden="1"/>
    </xf>
    <xf numFmtId="10" fontId="9" fillId="0" borderId="0" xfId="59" applyNumberFormat="1" applyFont="1" applyFill="1" applyAlignment="1" applyProtection="1">
      <alignment/>
      <protection hidden="1"/>
    </xf>
    <xf numFmtId="10" fontId="9" fillId="0" borderId="88" xfId="59" applyNumberFormat="1" applyFont="1" applyFill="1" applyBorder="1" applyAlignment="1" applyProtection="1">
      <alignment/>
      <protection hidden="1"/>
    </xf>
    <xf numFmtId="0" fontId="9" fillId="0" borderId="0" xfId="0" applyFont="1" applyAlignment="1" applyProtection="1">
      <alignment/>
      <protection hidden="1"/>
    </xf>
    <xf numFmtId="0" fontId="9" fillId="0" borderId="0" xfId="0" applyFont="1" applyFill="1" applyBorder="1" applyAlignment="1" applyProtection="1" quotePrefix="1">
      <alignment horizontal="left"/>
      <protection hidden="1"/>
    </xf>
    <xf numFmtId="174" fontId="9" fillId="0" borderId="0" xfId="0" applyNumberFormat="1" applyFont="1" applyAlignment="1" applyProtection="1">
      <alignment horizontal="center"/>
      <protection hidden="1"/>
    </xf>
    <xf numFmtId="173" fontId="87" fillId="0" borderId="0" xfId="51" applyNumberFormat="1" applyFont="1" applyFill="1" applyBorder="1" applyAlignment="1" applyProtection="1" quotePrefix="1">
      <alignment horizontal="right"/>
      <protection hidden="1"/>
    </xf>
    <xf numFmtId="0" fontId="21" fillId="0" borderId="0" xfId="57" applyFont="1" applyFill="1" applyAlignment="1" applyProtection="1">
      <alignment vertical="center" wrapText="1"/>
      <protection hidden="1"/>
    </xf>
    <xf numFmtId="0" fontId="0" fillId="0" borderId="0" xfId="57" applyFill="1" applyProtection="1">
      <alignment/>
      <protection hidden="1"/>
    </xf>
    <xf numFmtId="0" fontId="4" fillId="0" borderId="0" xfId="0" applyFont="1" applyFill="1" applyAlignment="1" applyProtection="1">
      <alignment horizontal="center" vertical="center" wrapText="1"/>
      <protection hidden="1"/>
    </xf>
    <xf numFmtId="0" fontId="14" fillId="0" borderId="91" xfId="57" applyFont="1" applyFill="1" applyBorder="1" applyAlignment="1" applyProtection="1">
      <alignment vertical="center" wrapText="1"/>
      <protection hidden="1"/>
    </xf>
    <xf numFmtId="0" fontId="30" fillId="0" borderId="92" xfId="57" applyFont="1" applyFill="1" applyBorder="1" applyAlignment="1" applyProtection="1">
      <alignment horizontal="center" vertical="center" wrapText="1"/>
      <protection hidden="1"/>
    </xf>
    <xf numFmtId="0" fontId="14" fillId="0" borderId="92" xfId="57" applyFont="1" applyFill="1" applyBorder="1" applyAlignment="1" applyProtection="1">
      <alignment horizontal="center" vertical="center" wrapText="1"/>
      <protection hidden="1"/>
    </xf>
    <xf numFmtId="0" fontId="30" fillId="0" borderId="93" xfId="57" applyFont="1" applyFill="1" applyBorder="1" applyAlignment="1" applyProtection="1">
      <alignment horizontal="center" vertical="center" wrapText="1"/>
      <protection hidden="1"/>
    </xf>
    <xf numFmtId="0" fontId="14" fillId="0" borderId="93" xfId="57" applyFont="1" applyFill="1" applyBorder="1" applyAlignment="1" applyProtection="1">
      <alignment horizontal="center" vertical="center" wrapText="1"/>
      <protection hidden="1"/>
    </xf>
    <xf numFmtId="174" fontId="30" fillId="0" borderId="92" xfId="57" applyNumberFormat="1" applyFont="1" applyFill="1" applyBorder="1" applyAlignment="1" applyProtection="1">
      <alignment horizontal="center" vertical="center" wrapText="1"/>
      <protection hidden="1"/>
    </xf>
    <xf numFmtId="10" fontId="30" fillId="0" borderId="92" xfId="0" applyNumberFormat="1" applyFont="1" applyFill="1" applyBorder="1" applyAlignment="1" applyProtection="1">
      <alignment horizontal="center" vertical="center" wrapText="1"/>
      <protection hidden="1"/>
    </xf>
    <xf numFmtId="8" fontId="15" fillId="0" borderId="92" xfId="57" applyNumberFormat="1" applyFont="1" applyFill="1" applyBorder="1" applyAlignment="1" applyProtection="1">
      <alignment horizontal="center" vertical="center" wrapText="1"/>
      <protection hidden="1"/>
    </xf>
    <xf numFmtId="0" fontId="15" fillId="0" borderId="94" xfId="57" applyFont="1" applyFill="1" applyBorder="1" applyAlignment="1" applyProtection="1">
      <alignment horizontal="center" vertical="center" wrapText="1"/>
      <protection hidden="1"/>
    </xf>
    <xf numFmtId="10" fontId="15" fillId="0" borderId="94" xfId="0" applyNumberFormat="1" applyFont="1" applyFill="1" applyBorder="1" applyAlignment="1" applyProtection="1">
      <alignment horizontal="center" vertical="center" wrapText="1"/>
      <protection hidden="1"/>
    </xf>
    <xf numFmtId="0" fontId="0" fillId="0" borderId="0" xfId="0" applyFill="1" applyAlignment="1" applyProtection="1">
      <alignment/>
      <protection hidden="1"/>
    </xf>
    <xf numFmtId="10" fontId="14" fillId="0" borderId="94" xfId="60" applyNumberFormat="1" applyFont="1" applyFill="1" applyBorder="1" applyAlignment="1" applyProtection="1">
      <alignment horizontal="center" vertical="center" wrapText="1"/>
      <protection hidden="1"/>
    </xf>
    <xf numFmtId="0" fontId="15" fillId="0" borderId="93" xfId="57" applyFont="1" applyFill="1" applyBorder="1" applyAlignment="1" applyProtection="1">
      <alignment horizontal="center" vertical="center" wrapText="1"/>
      <protection hidden="1"/>
    </xf>
    <xf numFmtId="10" fontId="15" fillId="0" borderId="93" xfId="0" applyNumberFormat="1" applyFont="1" applyFill="1" applyBorder="1" applyAlignment="1" applyProtection="1">
      <alignment horizontal="center" vertical="center" wrapText="1"/>
      <protection hidden="1"/>
    </xf>
    <xf numFmtId="0" fontId="0" fillId="0" borderId="93" xfId="57" applyFill="1" applyBorder="1" applyAlignment="1" applyProtection="1">
      <alignment vertical="center" wrapText="1"/>
      <protection hidden="1"/>
    </xf>
    <xf numFmtId="0" fontId="15" fillId="0" borderId="95" xfId="57" applyFont="1" applyFill="1" applyBorder="1" applyAlignment="1" applyProtection="1">
      <alignment vertical="center" wrapText="1"/>
      <protection hidden="1"/>
    </xf>
    <xf numFmtId="0" fontId="83" fillId="0" borderId="0" xfId="57" applyFont="1" applyProtection="1">
      <alignment/>
      <protection hidden="1"/>
    </xf>
    <xf numFmtId="0" fontId="15" fillId="0" borderId="91" xfId="57" applyFont="1" applyBorder="1" applyAlignment="1" applyProtection="1">
      <alignment vertical="center" wrapText="1"/>
      <protection hidden="1"/>
    </xf>
    <xf numFmtId="0" fontId="15" fillId="0" borderId="96" xfId="57" applyFont="1" applyBorder="1" applyAlignment="1" applyProtection="1">
      <alignment vertical="center" wrapText="1"/>
      <protection hidden="1"/>
    </xf>
    <xf numFmtId="0" fontId="15" fillId="0" borderId="97" xfId="57" applyFont="1" applyBorder="1" applyAlignment="1" applyProtection="1">
      <alignment vertical="center" wrapText="1"/>
      <protection hidden="1"/>
    </xf>
    <xf numFmtId="0" fontId="0" fillId="0" borderId="98" xfId="57" applyBorder="1" applyProtection="1">
      <alignment/>
      <protection hidden="1"/>
    </xf>
    <xf numFmtId="0" fontId="0" fillId="0" borderId="99" xfId="57" applyBorder="1" applyAlignment="1" applyProtection="1">
      <alignment vertical="center" wrapText="1"/>
      <protection hidden="1"/>
    </xf>
    <xf numFmtId="0" fontId="0" fillId="0" borderId="80" xfId="57" applyBorder="1" applyAlignment="1" applyProtection="1">
      <alignment vertical="center" wrapText="1"/>
      <protection hidden="1"/>
    </xf>
    <xf numFmtId="0" fontId="88" fillId="0" borderId="0" xfId="57" applyFont="1" applyBorder="1" applyAlignment="1" applyProtection="1">
      <alignment vertical="center" wrapText="1"/>
      <protection hidden="1"/>
    </xf>
    <xf numFmtId="0" fontId="0" fillId="0" borderId="100" xfId="57" applyBorder="1" applyProtection="1">
      <alignment/>
      <protection hidden="1"/>
    </xf>
    <xf numFmtId="0" fontId="15" fillId="0" borderId="80" xfId="0" applyFont="1" applyBorder="1" applyAlignment="1" applyProtection="1">
      <alignment vertical="center" wrapText="1"/>
      <protection hidden="1"/>
    </xf>
    <xf numFmtId="0" fontId="88" fillId="0" borderId="0" xfId="57" applyFont="1" applyBorder="1" applyAlignment="1" applyProtection="1">
      <alignment vertical="top" wrapText="1"/>
      <protection hidden="1"/>
    </xf>
    <xf numFmtId="10" fontId="5" fillId="47" borderId="11" xfId="60" applyNumberFormat="1" applyFont="1" applyFill="1" applyBorder="1" applyAlignment="1" applyProtection="1">
      <alignment horizontal="center" wrapText="1"/>
      <protection hidden="1"/>
    </xf>
    <xf numFmtId="4" fontId="82" fillId="39" borderId="0" xfId="59" applyNumberFormat="1" applyFont="1" applyFill="1" applyAlignment="1" applyProtection="1">
      <alignment horizontal="center"/>
      <protection hidden="1" locked="0"/>
    </xf>
    <xf numFmtId="4" fontId="5" fillId="3" borderId="12" xfId="57" applyNumberFormat="1" applyFont="1" applyFill="1" applyBorder="1" applyAlignment="1" applyProtection="1">
      <alignment horizontal="center"/>
      <protection hidden="1" locked="0"/>
    </xf>
    <xf numFmtId="4" fontId="5" fillId="38" borderId="67" xfId="57" applyNumberFormat="1" applyFont="1" applyFill="1" applyBorder="1" applyProtection="1">
      <alignment/>
      <protection hidden="1" locked="0"/>
    </xf>
    <xf numFmtId="0" fontId="82" fillId="39" borderId="0" xfId="59" applyNumberFormat="1" applyFont="1" applyFill="1" applyAlignment="1" applyProtection="1">
      <alignment horizontal="center"/>
      <protection hidden="1" locked="0"/>
    </xf>
    <xf numFmtId="4" fontId="5" fillId="0" borderId="0" xfId="0" applyNumberFormat="1" applyFont="1" applyAlignment="1" applyProtection="1">
      <alignment/>
      <protection hidden="1"/>
    </xf>
    <xf numFmtId="4" fontId="5" fillId="0" borderId="0" xfId="0" applyNumberFormat="1" applyFont="1" applyFill="1" applyAlignment="1" applyProtection="1">
      <alignment/>
      <protection hidden="1"/>
    </xf>
    <xf numFmtId="4" fontId="5" fillId="0" borderId="0" xfId="49" applyNumberFormat="1" applyFont="1" applyFill="1" applyAlignment="1" applyProtection="1">
      <alignment/>
      <protection hidden="1"/>
    </xf>
    <xf numFmtId="4" fontId="5" fillId="0" borderId="0" xfId="49" applyNumberFormat="1" applyFont="1" applyFill="1" applyAlignment="1" applyProtection="1">
      <alignment/>
      <protection/>
    </xf>
    <xf numFmtId="4" fontId="5" fillId="0" borderId="0" xfId="49" applyNumberFormat="1" applyFont="1" applyFill="1" applyAlignment="1" applyProtection="1">
      <alignment/>
      <protection locked="0"/>
    </xf>
    <xf numFmtId="4" fontId="5" fillId="0" borderId="0" xfId="49" applyNumberFormat="1" applyFont="1" applyBorder="1" applyAlignment="1" applyProtection="1">
      <alignment/>
      <protection hidden="1"/>
    </xf>
    <xf numFmtId="4" fontId="5" fillId="0" borderId="0" xfId="49" applyNumberFormat="1" applyFont="1" applyFill="1" applyBorder="1" applyAlignment="1" applyProtection="1">
      <alignment/>
      <protection hidden="1"/>
    </xf>
    <xf numFmtId="4" fontId="5" fillId="0" borderId="0" xfId="51" applyNumberFormat="1" applyFont="1" applyBorder="1" applyAlignment="1" applyProtection="1">
      <alignment/>
      <protection hidden="1"/>
    </xf>
    <xf numFmtId="4" fontId="5" fillId="0" borderId="0" xfId="51" applyNumberFormat="1" applyFont="1" applyFill="1" applyBorder="1" applyAlignment="1" applyProtection="1">
      <alignment/>
      <protection hidden="1"/>
    </xf>
    <xf numFmtId="4" fontId="5" fillId="0" borderId="88" xfId="0" applyNumberFormat="1" applyFont="1" applyBorder="1" applyAlignment="1" applyProtection="1">
      <alignment/>
      <protection hidden="1"/>
    </xf>
    <xf numFmtId="4" fontId="5" fillId="0" borderId="88" xfId="0" applyNumberFormat="1" applyFont="1" applyFill="1" applyBorder="1" applyAlignment="1" applyProtection="1">
      <alignment/>
      <protection hidden="1"/>
    </xf>
    <xf numFmtId="4" fontId="5" fillId="0" borderId="88" xfId="49" applyNumberFormat="1" applyFont="1" applyFill="1" applyBorder="1" applyAlignment="1" applyProtection="1">
      <alignment/>
      <protection hidden="1"/>
    </xf>
    <xf numFmtId="4" fontId="5" fillId="0" borderId="88" xfId="49" applyNumberFormat="1" applyFont="1" applyFill="1" applyBorder="1" applyAlignment="1" applyProtection="1">
      <alignment/>
      <protection/>
    </xf>
    <xf numFmtId="4" fontId="5" fillId="0" borderId="88" xfId="51" applyNumberFormat="1" applyFont="1" applyBorder="1" applyAlignment="1" applyProtection="1">
      <alignment/>
      <protection hidden="1"/>
    </xf>
    <xf numFmtId="4" fontId="5" fillId="0" borderId="88" xfId="49" applyNumberFormat="1" applyFont="1" applyFill="1" applyBorder="1" applyAlignment="1" applyProtection="1">
      <alignment/>
      <protection locked="0"/>
    </xf>
    <xf numFmtId="4" fontId="5" fillId="0" borderId="0" xfId="49" applyNumberFormat="1" applyFont="1" applyFill="1" applyAlignment="1" applyProtection="1" quotePrefix="1">
      <alignment/>
      <protection hidden="1"/>
    </xf>
    <xf numFmtId="4" fontId="5" fillId="0" borderId="88" xfId="49" applyNumberFormat="1" applyFont="1" applyFill="1" applyBorder="1" applyAlignment="1" applyProtection="1" quotePrefix="1">
      <alignment/>
      <protection hidden="1"/>
    </xf>
    <xf numFmtId="188" fontId="5" fillId="38" borderId="0" xfId="57" applyNumberFormat="1" applyFont="1" applyFill="1" applyProtection="1">
      <alignment/>
      <protection hidden="1" locked="0"/>
    </xf>
    <xf numFmtId="188" fontId="4" fillId="38" borderId="0" xfId="57" applyNumberFormat="1" applyFont="1" applyFill="1" applyProtection="1">
      <alignment/>
      <protection hidden="1" locked="0"/>
    </xf>
    <xf numFmtId="4" fontId="5" fillId="38" borderId="0" xfId="57" applyNumberFormat="1" applyFont="1" applyFill="1" applyProtection="1">
      <alignment/>
      <protection hidden="1" locked="0"/>
    </xf>
    <xf numFmtId="0" fontId="15" fillId="0" borderId="99" xfId="57" applyFont="1" applyBorder="1" applyAlignment="1" applyProtection="1">
      <alignment vertical="center" wrapText="1"/>
      <protection hidden="1"/>
    </xf>
    <xf numFmtId="0" fontId="5" fillId="0" borderId="37" xfId="0" applyFont="1" applyBorder="1" applyAlignment="1">
      <alignment/>
    </xf>
    <xf numFmtId="0" fontId="4" fillId="0" borderId="18" xfId="0" applyFont="1" applyBorder="1" applyAlignment="1" applyProtection="1">
      <alignment horizontal="center" wrapText="1"/>
      <protection hidden="1"/>
    </xf>
    <xf numFmtId="0" fontId="5" fillId="0" borderId="18" xfId="0" applyFont="1" applyBorder="1" applyAlignment="1" applyProtection="1">
      <alignment horizontal="center"/>
      <protection hidden="1"/>
    </xf>
    <xf numFmtId="0" fontId="4" fillId="0" borderId="18" xfId="0" applyFont="1" applyBorder="1" applyAlignment="1" applyProtection="1">
      <alignment horizontal="right" vertical="center" wrapText="1"/>
      <protection hidden="1"/>
    </xf>
    <xf numFmtId="173" fontId="4" fillId="0" borderId="18" xfId="52" applyNumberFormat="1" applyFont="1" applyFill="1" applyBorder="1" applyAlignment="1" applyProtection="1">
      <alignment horizontal="right" vertical="center"/>
      <protection hidden="1"/>
    </xf>
    <xf numFmtId="0" fontId="5" fillId="0" borderId="18" xfId="0" applyFont="1" applyBorder="1" applyAlignment="1" applyProtection="1">
      <alignment horizontal="right" vertical="center"/>
      <protection hidden="1"/>
    </xf>
    <xf numFmtId="0" fontId="4" fillId="0" borderId="18" xfId="0" applyFont="1" applyBorder="1" applyAlignment="1" applyProtection="1">
      <alignment horizontal="right" wrapText="1"/>
      <protection hidden="1"/>
    </xf>
    <xf numFmtId="0" fontId="4" fillId="0" borderId="18"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19" fillId="0" borderId="38" xfId="0" applyFont="1" applyBorder="1" applyAlignment="1">
      <alignment/>
    </xf>
    <xf numFmtId="4" fontId="19" fillId="0" borderId="39" xfId="0" applyNumberFormat="1" applyFont="1" applyBorder="1" applyAlignment="1">
      <alignment/>
    </xf>
    <xf numFmtId="0" fontId="19" fillId="0" borderId="39" xfId="0" applyFont="1" applyBorder="1" applyAlignment="1">
      <alignment/>
    </xf>
    <xf numFmtId="4" fontId="19" fillId="0" borderId="39" xfId="0" applyNumberFormat="1" applyFont="1" applyBorder="1" applyAlignment="1">
      <alignment horizontal="right" vertical="center"/>
    </xf>
    <xf numFmtId="0" fontId="19" fillId="0" borderId="39" xfId="0" applyFont="1" applyBorder="1" applyAlignment="1">
      <alignment horizontal="right" vertical="center"/>
    </xf>
    <xf numFmtId="0" fontId="19" fillId="0" borderId="40" xfId="0" applyFont="1" applyBorder="1" applyAlignment="1">
      <alignment horizontal="right" vertical="center"/>
    </xf>
    <xf numFmtId="0" fontId="8" fillId="0" borderId="0" xfId="57" applyFont="1" applyFill="1" applyBorder="1" applyAlignment="1" applyProtection="1">
      <alignment horizontal="center"/>
      <protection hidden="1"/>
    </xf>
    <xf numFmtId="0" fontId="0" fillId="0" borderId="0" xfId="57" applyBorder="1" applyAlignment="1" applyProtection="1">
      <alignment/>
      <protection hidden="1"/>
    </xf>
    <xf numFmtId="0" fontId="19" fillId="0" borderId="15" xfId="57" applyFont="1" applyBorder="1" applyAlignment="1" applyProtection="1">
      <alignment horizontal="center"/>
      <protection hidden="1" locked="0"/>
    </xf>
    <xf numFmtId="0" fontId="1" fillId="0" borderId="44" xfId="57" applyFont="1" applyFill="1" applyBorder="1" applyAlignment="1" applyProtection="1">
      <alignment horizontal="center" vertical="center" wrapText="1"/>
      <protection hidden="1"/>
    </xf>
    <xf numFmtId="0" fontId="1" fillId="0" borderId="69" xfId="57" applyFont="1" applyFill="1" applyBorder="1" applyAlignment="1" applyProtection="1">
      <alignment horizontal="center" vertical="center" wrapText="1"/>
      <protection hidden="1"/>
    </xf>
    <xf numFmtId="0" fontId="1" fillId="0" borderId="68" xfId="57" applyFont="1" applyFill="1" applyBorder="1" applyAlignment="1" applyProtection="1">
      <alignment horizontal="center" vertical="center" wrapText="1"/>
      <protection hidden="1"/>
    </xf>
    <xf numFmtId="0" fontId="8" fillId="0" borderId="59" xfId="57" applyFont="1" applyFill="1" applyBorder="1" applyAlignment="1" applyProtection="1">
      <alignment horizontal="center"/>
      <protection hidden="1"/>
    </xf>
    <xf numFmtId="0" fontId="5" fillId="0" borderId="15" xfId="57" applyFont="1" applyBorder="1" applyAlignment="1" applyProtection="1">
      <alignment horizontal="center"/>
      <protection hidden="1" locked="0"/>
    </xf>
    <xf numFmtId="0" fontId="10" fillId="0" borderId="15" xfId="57" applyFont="1" applyBorder="1" applyAlignment="1" applyProtection="1">
      <alignment horizontal="center"/>
      <protection hidden="1" locked="0"/>
    </xf>
    <xf numFmtId="0" fontId="8" fillId="0" borderId="0"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173" fontId="4" fillId="0" borderId="0" xfId="49" applyNumberFormat="1" applyFont="1" applyFill="1" applyBorder="1" applyAlignment="1" applyProtection="1">
      <alignment horizontal="center"/>
      <protection hidden="1"/>
    </xf>
    <xf numFmtId="187" fontId="9"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200" fontId="0" fillId="0" borderId="0" xfId="0" applyNumberFormat="1" applyAlignment="1" applyProtection="1">
      <alignment horizontal="center"/>
      <protection/>
    </xf>
    <xf numFmtId="0" fontId="13" fillId="0" borderId="0" xfId="0" applyFont="1" applyAlignment="1">
      <alignment horizontal="center" wrapText="1"/>
    </xf>
    <xf numFmtId="0" fontId="14" fillId="0" borderId="0" xfId="0" applyFont="1" applyAlignment="1">
      <alignment horizontal="left" vertical="justify" wrapText="1"/>
    </xf>
    <xf numFmtId="0" fontId="14" fillId="0" borderId="15" xfId="0" applyFont="1" applyBorder="1" applyAlignment="1">
      <alignment horizontal="left" wrapText="1"/>
    </xf>
    <xf numFmtId="0" fontId="14" fillId="0" borderId="43" xfId="0" applyFont="1" applyBorder="1" applyAlignment="1">
      <alignment horizontal="left" wrapText="1"/>
    </xf>
    <xf numFmtId="0" fontId="14" fillId="0" borderId="0" xfId="0" applyFont="1" applyBorder="1" applyAlignment="1">
      <alignment horizontal="left" wrapText="1"/>
    </xf>
    <xf numFmtId="0" fontId="15" fillId="0" borderId="101" xfId="0" applyFont="1" applyBorder="1" applyAlignment="1">
      <alignment horizontal="left" wrapText="1"/>
    </xf>
    <xf numFmtId="0" fontId="15" fillId="0" borderId="39" xfId="0" applyFont="1" applyBorder="1" applyAlignment="1">
      <alignment horizontal="left" wrapText="1"/>
    </xf>
    <xf numFmtId="0" fontId="14" fillId="0" borderId="19" xfId="0" applyFont="1" applyBorder="1" applyAlignment="1">
      <alignment horizontal="center" wrapText="1"/>
    </xf>
    <xf numFmtId="0" fontId="14" fillId="0" borderId="41" xfId="0" applyFont="1" applyBorder="1" applyAlignment="1">
      <alignment horizontal="center" wrapText="1"/>
    </xf>
    <xf numFmtId="0" fontId="14" fillId="0" borderId="102" xfId="0" applyFont="1" applyBorder="1" applyAlignment="1">
      <alignment horizontal="center" wrapText="1"/>
    </xf>
    <xf numFmtId="0" fontId="14" fillId="0" borderId="103" xfId="0" applyFont="1" applyBorder="1" applyAlignment="1">
      <alignment horizontal="center" wrapText="1"/>
    </xf>
    <xf numFmtId="0" fontId="14" fillId="0" borderId="30" xfId="0" applyFont="1" applyBorder="1" applyAlignment="1">
      <alignment horizontal="center" wrapText="1"/>
    </xf>
    <xf numFmtId="0" fontId="14" fillId="0" borderId="31" xfId="0" applyFont="1" applyBorder="1" applyAlignment="1">
      <alignment horizontal="center"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4" fillId="0" borderId="13" xfId="0" applyFont="1" applyBorder="1" applyAlignment="1">
      <alignment horizontal="center" wrapText="1"/>
    </xf>
    <xf numFmtId="0" fontId="14" fillId="0" borderId="104" xfId="0" applyFont="1" applyBorder="1" applyAlignment="1">
      <alignment horizontal="center" wrapText="1"/>
    </xf>
    <xf numFmtId="0" fontId="14" fillId="0" borderId="105" xfId="0" applyFont="1" applyBorder="1" applyAlignment="1">
      <alignment horizontal="center" wrapText="1"/>
    </xf>
    <xf numFmtId="0" fontId="15" fillId="0" borderId="21" xfId="0" applyFont="1" applyBorder="1" applyAlignment="1">
      <alignment horizontal="center" vertical="top" wrapText="1"/>
    </xf>
    <xf numFmtId="0" fontId="15" fillId="0" borderId="47" xfId="0" applyFont="1" applyBorder="1" applyAlignment="1">
      <alignment horizontal="center" vertical="top" wrapText="1"/>
    </xf>
    <xf numFmtId="0" fontId="15" fillId="0" borderId="30" xfId="0" applyFont="1" applyBorder="1" applyAlignment="1">
      <alignment wrapText="1"/>
    </xf>
    <xf numFmtId="0" fontId="15" fillId="0" borderId="31" xfId="0" applyFont="1" applyBorder="1" applyAlignment="1">
      <alignment wrapText="1"/>
    </xf>
    <xf numFmtId="0" fontId="14" fillId="0" borderId="18" xfId="0" applyFont="1" applyBorder="1" applyAlignment="1">
      <alignment horizontal="left" wrapText="1"/>
    </xf>
    <xf numFmtId="0" fontId="15" fillId="0" borderId="0" xfId="0" applyFont="1" applyAlignment="1">
      <alignment horizontal="left" wrapText="1"/>
    </xf>
    <xf numFmtId="0" fontId="14" fillId="0" borderId="106" xfId="0" applyFont="1" applyBorder="1" applyAlignment="1">
      <alignment horizontal="center" wrapText="1"/>
    </xf>
    <xf numFmtId="0" fontId="15" fillId="0" borderId="41" xfId="0" applyFont="1" applyBorder="1" applyAlignment="1">
      <alignment horizontal="center" vertical="top" wrapText="1"/>
    </xf>
    <xf numFmtId="0" fontId="15" fillId="0" borderId="107" xfId="0" applyFont="1" applyBorder="1" applyAlignment="1">
      <alignment horizontal="center" vertical="top" wrapText="1"/>
    </xf>
    <xf numFmtId="0" fontId="15" fillId="0" borderId="30" xfId="0" applyFont="1" applyBorder="1" applyAlignment="1">
      <alignment horizontal="center" wrapText="1"/>
    </xf>
    <xf numFmtId="0" fontId="15" fillId="0" borderId="31" xfId="0" applyFont="1" applyBorder="1" applyAlignment="1">
      <alignment horizontal="center" wrapText="1"/>
    </xf>
    <xf numFmtId="0" fontId="15" fillId="0" borderId="37" xfId="0" applyFont="1" applyBorder="1" applyAlignment="1">
      <alignment horizontal="center" vertical="top" wrapText="1"/>
    </xf>
    <xf numFmtId="0" fontId="15" fillId="0" borderId="31" xfId="0" applyFont="1" applyBorder="1" applyAlignment="1">
      <alignment horizontal="center" vertical="top" wrapText="1"/>
    </xf>
    <xf numFmtId="0" fontId="15" fillId="0" borderId="30" xfId="0" applyFont="1" applyBorder="1" applyAlignment="1">
      <alignment horizontal="center" vertical="top" wrapText="1"/>
    </xf>
    <xf numFmtId="0" fontId="15" fillId="0" borderId="0" xfId="0" applyFont="1" applyBorder="1" applyAlignment="1">
      <alignment horizontal="center" vertical="top" wrapText="1"/>
    </xf>
    <xf numFmtId="0" fontId="15" fillId="0" borderId="10" xfId="0" applyFont="1" applyBorder="1" applyAlignment="1">
      <alignment horizontal="center" vertical="top" wrapText="1"/>
    </xf>
    <xf numFmtId="0" fontId="14" fillId="0" borderId="108" xfId="0" applyFont="1" applyBorder="1" applyAlignment="1">
      <alignment horizontal="left" wrapText="1"/>
    </xf>
    <xf numFmtId="0" fontId="14" fillId="0" borderId="82" xfId="0" applyFont="1" applyBorder="1" applyAlignment="1">
      <alignment horizontal="left" wrapText="1"/>
    </xf>
    <xf numFmtId="0" fontId="14" fillId="0" borderId="109" xfId="0" applyFont="1" applyBorder="1" applyAlignment="1">
      <alignment horizontal="left" wrapText="1"/>
    </xf>
    <xf numFmtId="0" fontId="14" fillId="0" borderId="110" xfId="0" applyFont="1" applyBorder="1" applyAlignment="1">
      <alignment horizontal="left" wrapText="1"/>
    </xf>
    <xf numFmtId="0" fontId="14" fillId="0" borderId="111" xfId="0" applyFont="1" applyBorder="1" applyAlignment="1">
      <alignment horizontal="left" wrapText="1"/>
    </xf>
    <xf numFmtId="0" fontId="14" fillId="0" borderId="105" xfId="0" applyFont="1" applyBorder="1" applyAlignment="1">
      <alignment horizontal="left" wrapText="1"/>
    </xf>
    <xf numFmtId="0" fontId="16" fillId="0" borderId="112" xfId="0" applyFont="1" applyBorder="1" applyAlignment="1">
      <alignment horizontal="center" vertical="top" wrapText="1"/>
    </xf>
    <xf numFmtId="0" fontId="16" fillId="0" borderId="29" xfId="0" applyFont="1" applyBorder="1" applyAlignment="1">
      <alignment horizontal="center" vertical="top" wrapText="1"/>
    </xf>
    <xf numFmtId="0" fontId="16" fillId="0" borderId="28" xfId="0" applyFont="1" applyBorder="1" applyAlignment="1">
      <alignment horizontal="center" vertical="top" wrapText="1"/>
    </xf>
    <xf numFmtId="0" fontId="16" fillId="0" borderId="113" xfId="0" applyFont="1" applyBorder="1" applyAlignment="1">
      <alignment horizontal="center" vertical="top" wrapText="1"/>
    </xf>
    <xf numFmtId="0" fontId="16" fillId="0" borderId="114" xfId="0" applyFont="1" applyBorder="1" applyAlignment="1">
      <alignment horizontal="center" vertical="top" wrapText="1"/>
    </xf>
    <xf numFmtId="0" fontId="15" fillId="0" borderId="36" xfId="0" applyFont="1" applyBorder="1" applyAlignment="1">
      <alignment horizontal="left" wrapText="1"/>
    </xf>
    <xf numFmtId="0" fontId="15" fillId="0" borderId="18" xfId="0" applyFont="1" applyBorder="1" applyAlignment="1">
      <alignment horizontal="left" wrapText="1"/>
    </xf>
    <xf numFmtId="0" fontId="15" fillId="0" borderId="13" xfId="0" applyFont="1" applyBorder="1" applyAlignment="1">
      <alignment horizontal="left" wrapText="1"/>
    </xf>
    <xf numFmtId="8" fontId="15" fillId="0" borderId="30" xfId="0" applyNumberFormat="1" applyFont="1" applyBorder="1" applyAlignment="1">
      <alignment horizontal="center" vertical="top" wrapText="1"/>
    </xf>
    <xf numFmtId="8" fontId="15" fillId="0" borderId="31" xfId="0" applyNumberFormat="1" applyFont="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15" fillId="0" borderId="37" xfId="0" applyFont="1" applyBorder="1" applyAlignment="1">
      <alignment horizontal="left" wrapText="1"/>
    </xf>
    <xf numFmtId="0" fontId="15" fillId="0" borderId="0" xfId="0" applyFont="1" applyBorder="1" applyAlignment="1">
      <alignment horizontal="left" wrapText="1"/>
    </xf>
    <xf numFmtId="0" fontId="15" fillId="0" borderId="10" xfId="0" applyFont="1" applyBorder="1" applyAlignment="1">
      <alignment horizontal="left" wrapText="1"/>
    </xf>
    <xf numFmtId="0" fontId="15" fillId="0" borderId="38" xfId="0" applyFont="1" applyBorder="1" applyAlignment="1">
      <alignment horizontal="left" wrapText="1"/>
    </xf>
    <xf numFmtId="0" fontId="15" fillId="0" borderId="40" xfId="0" applyFont="1" applyBorder="1" applyAlignment="1">
      <alignment horizontal="left" wrapText="1"/>
    </xf>
    <xf numFmtId="0" fontId="14" fillId="0" borderId="115" xfId="0" applyFont="1" applyBorder="1" applyAlignment="1">
      <alignment horizontal="left" wrapText="1"/>
    </xf>
    <xf numFmtId="0" fontId="14" fillId="0" borderId="69" xfId="0" applyFont="1" applyBorder="1" applyAlignment="1">
      <alignment horizontal="left" wrapText="1"/>
    </xf>
    <xf numFmtId="0" fontId="14" fillId="0" borderId="36" xfId="0" applyFont="1" applyBorder="1" applyAlignment="1">
      <alignment horizontal="center" wrapText="1"/>
    </xf>
    <xf numFmtId="0" fontId="14" fillId="0" borderId="18" xfId="0" applyFont="1" applyBorder="1" applyAlignment="1">
      <alignment horizontal="center" wrapText="1"/>
    </xf>
    <xf numFmtId="0" fontId="15" fillId="0" borderId="30" xfId="0" applyFont="1" applyBorder="1" applyAlignment="1">
      <alignment horizontal="left" wrapText="1"/>
    </xf>
    <xf numFmtId="0" fontId="15" fillId="0" borderId="31" xfId="0" applyFont="1" applyBorder="1" applyAlignment="1">
      <alignment horizontal="left" wrapText="1"/>
    </xf>
    <xf numFmtId="0" fontId="15" fillId="0" borderId="33" xfId="0" applyFont="1" applyBorder="1" applyAlignment="1">
      <alignment horizontal="left" wrapText="1"/>
    </xf>
    <xf numFmtId="0" fontId="15" fillId="0" borderId="34" xfId="0" applyFont="1" applyBorder="1" applyAlignment="1">
      <alignment horizontal="left" wrapText="1"/>
    </xf>
    <xf numFmtId="0" fontId="14" fillId="0" borderId="36" xfId="0" applyFont="1" applyBorder="1" applyAlignment="1">
      <alignment horizontal="left" wrapText="1"/>
    </xf>
    <xf numFmtId="0" fontId="14" fillId="0" borderId="13" xfId="0" applyFont="1" applyBorder="1" applyAlignment="1">
      <alignment horizontal="left" wrapText="1"/>
    </xf>
    <xf numFmtId="0" fontId="14" fillId="0" borderId="37" xfId="0" applyFont="1" applyBorder="1" applyAlignment="1">
      <alignment horizontal="left" wrapText="1"/>
    </xf>
    <xf numFmtId="0" fontId="14" fillId="0" borderId="10" xfId="0" applyFont="1" applyBorder="1" applyAlignment="1">
      <alignment horizontal="left" wrapText="1"/>
    </xf>
    <xf numFmtId="0" fontId="14" fillId="0" borderId="38" xfId="0" applyFont="1" applyBorder="1" applyAlignment="1">
      <alignment horizontal="left" wrapText="1"/>
    </xf>
    <xf numFmtId="0" fontId="14" fillId="0" borderId="39" xfId="0" applyFont="1" applyBorder="1" applyAlignment="1">
      <alignment horizontal="left" wrapText="1"/>
    </xf>
    <xf numFmtId="0" fontId="14" fillId="0" borderId="40" xfId="0" applyFont="1" applyBorder="1" applyAlignment="1">
      <alignment horizontal="left" wrapText="1"/>
    </xf>
    <xf numFmtId="0" fontId="14" fillId="0" borderId="44" xfId="0" applyFont="1" applyBorder="1" applyAlignment="1">
      <alignment horizontal="center" wrapText="1"/>
    </xf>
    <xf numFmtId="0" fontId="14" fillId="0" borderId="69" xfId="0" applyFont="1" applyBorder="1" applyAlignment="1">
      <alignment horizontal="center" wrapText="1"/>
    </xf>
    <xf numFmtId="0" fontId="14" fillId="0" borderId="68" xfId="0" applyFont="1" applyBorder="1" applyAlignment="1">
      <alignment horizontal="center" wrapText="1"/>
    </xf>
    <xf numFmtId="0" fontId="15" fillId="0" borderId="0" xfId="0" applyFont="1" applyBorder="1" applyAlignment="1">
      <alignment horizontal="center" wrapText="1"/>
    </xf>
    <xf numFmtId="0" fontId="15" fillId="0" borderId="10" xfId="0" applyFont="1" applyBorder="1" applyAlignment="1">
      <alignment horizontal="center" wrapText="1"/>
    </xf>
    <xf numFmtId="0" fontId="14" fillId="0" borderId="116" xfId="0" applyFont="1" applyBorder="1" applyAlignment="1">
      <alignment horizontal="left" wrapText="1"/>
    </xf>
    <xf numFmtId="0" fontId="14" fillId="0" borderId="117" xfId="0" applyFont="1" applyBorder="1" applyAlignment="1">
      <alignment horizontal="center" wrapText="1"/>
    </xf>
    <xf numFmtId="0" fontId="14" fillId="0" borderId="118" xfId="0" applyFont="1" applyBorder="1" applyAlignment="1">
      <alignment horizontal="center" wrapText="1"/>
    </xf>
    <xf numFmtId="0" fontId="14" fillId="0" borderId="25" xfId="0" applyFont="1" applyBorder="1" applyAlignment="1">
      <alignment horizontal="center" wrapText="1"/>
    </xf>
    <xf numFmtId="0" fontId="14" fillId="0" borderId="0" xfId="0" applyFont="1" applyBorder="1" applyAlignment="1">
      <alignment horizontal="center" wrapText="1"/>
    </xf>
    <xf numFmtId="0" fontId="14" fillId="0" borderId="111" xfId="0" applyFont="1" applyBorder="1" applyAlignment="1">
      <alignment horizontal="center" wrapText="1"/>
    </xf>
    <xf numFmtId="0" fontId="15" fillId="0" borderId="102"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2" xfId="0" applyFont="1" applyBorder="1" applyAlignment="1">
      <alignment horizontal="center" wrapText="1"/>
    </xf>
    <xf numFmtId="0" fontId="15" fillId="0" borderId="21" xfId="0" applyFont="1" applyBorder="1" applyAlignment="1">
      <alignment horizontal="center" wrapText="1"/>
    </xf>
    <xf numFmtId="0" fontId="15" fillId="0" borderId="47" xfId="0" applyFont="1" applyBorder="1" applyAlignment="1">
      <alignment horizontal="center" wrapText="1"/>
    </xf>
    <xf numFmtId="0" fontId="15" fillId="0" borderId="2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19" xfId="0" applyFont="1" applyBorder="1" applyAlignment="1">
      <alignment horizontal="center" wrapText="1"/>
    </xf>
    <xf numFmtId="0" fontId="15" fillId="0" borderId="118" xfId="0" applyFont="1" applyBorder="1" applyAlignment="1">
      <alignment horizontal="center" wrapText="1"/>
    </xf>
    <xf numFmtId="0" fontId="15" fillId="0" borderId="25" xfId="0" applyFont="1" applyBorder="1" applyAlignment="1">
      <alignment horizontal="center" wrapText="1"/>
    </xf>
    <xf numFmtId="0" fontId="15" fillId="0" borderId="28" xfId="0" applyFont="1" applyBorder="1" applyAlignment="1">
      <alignment horizontal="center" wrapText="1"/>
    </xf>
    <xf numFmtId="0" fontId="15" fillId="0" borderId="113" xfId="0" applyFont="1" applyBorder="1" applyAlignment="1">
      <alignment horizontal="center" wrapText="1"/>
    </xf>
    <xf numFmtId="0" fontId="15" fillId="0" borderId="104" xfId="0" applyFont="1" applyBorder="1" applyAlignment="1">
      <alignment horizontal="center" wrapText="1"/>
    </xf>
    <xf numFmtId="0" fontId="15" fillId="0" borderId="111" xfId="0" applyFont="1" applyBorder="1" applyAlignment="1">
      <alignment horizontal="center" wrapText="1"/>
    </xf>
    <xf numFmtId="0" fontId="14" fillId="0" borderId="120" xfId="0" applyFont="1" applyBorder="1" applyAlignment="1">
      <alignment horizontal="left" wrapText="1"/>
    </xf>
    <xf numFmtId="0" fontId="14" fillId="0" borderId="113" xfId="0" applyFont="1" applyBorder="1" applyAlignment="1">
      <alignment horizontal="left" wrapText="1"/>
    </xf>
    <xf numFmtId="0" fontId="0" fillId="0" borderId="37" xfId="0" applyBorder="1" applyAlignment="1">
      <alignment horizontal="left" wrapText="1"/>
    </xf>
    <xf numFmtId="0" fontId="0" fillId="0" borderId="0" xfId="0" applyBorder="1" applyAlignment="1">
      <alignment horizontal="left" wrapText="1"/>
    </xf>
    <xf numFmtId="0" fontId="15" fillId="0" borderId="43" xfId="0" applyFont="1" applyBorder="1" applyAlignment="1">
      <alignment horizontal="left" wrapText="1"/>
    </xf>
    <xf numFmtId="0" fontId="14" fillId="0" borderId="121" xfId="0" applyFont="1" applyBorder="1" applyAlignment="1">
      <alignment horizontal="center" wrapText="1"/>
    </xf>
    <xf numFmtId="0" fontId="14" fillId="0" borderId="109" xfId="0" applyFont="1" applyBorder="1" applyAlignment="1">
      <alignment horizontal="center" wrapText="1"/>
    </xf>
    <xf numFmtId="0" fontId="15" fillId="0" borderId="27"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07" xfId="0" applyFont="1" applyBorder="1" applyAlignment="1">
      <alignment horizontal="center" vertical="center" wrapText="1"/>
    </xf>
    <xf numFmtId="8" fontId="15" fillId="0" borderId="22" xfId="0" applyNumberFormat="1" applyFont="1" applyBorder="1" applyAlignment="1">
      <alignment horizontal="center" vertical="center" wrapText="1"/>
    </xf>
    <xf numFmtId="8" fontId="15" fillId="0" borderId="21" xfId="0" applyNumberFormat="1" applyFont="1" applyBorder="1" applyAlignment="1">
      <alignment horizontal="center" vertical="center" wrapText="1"/>
    </xf>
    <xf numFmtId="8" fontId="15" fillId="0" borderId="47" xfId="0" applyNumberFormat="1" applyFont="1" applyBorder="1" applyAlignment="1">
      <alignment horizontal="center" vertical="center" wrapText="1"/>
    </xf>
    <xf numFmtId="0" fontId="14" fillId="0" borderId="82" xfId="0" applyFont="1" applyBorder="1" applyAlignment="1">
      <alignment horizontal="center" wrapText="1"/>
    </xf>
    <xf numFmtId="0" fontId="15" fillId="0" borderId="122" xfId="0" applyFont="1" applyBorder="1" applyAlignment="1">
      <alignment horizontal="center" wrapText="1"/>
    </xf>
    <xf numFmtId="0" fontId="15" fillId="0" borderId="123" xfId="0" applyFont="1" applyBorder="1" applyAlignment="1">
      <alignment horizontal="center" wrapText="1"/>
    </xf>
    <xf numFmtId="0" fontId="15" fillId="0" borderId="16" xfId="0" applyFont="1" applyBorder="1" applyAlignment="1">
      <alignment horizontal="center" vertical="center" wrapText="1"/>
    </xf>
    <xf numFmtId="0" fontId="15" fillId="0" borderId="124" xfId="0" applyFont="1" applyBorder="1" applyAlignment="1">
      <alignment horizontal="center" vertical="center" wrapText="1"/>
    </xf>
    <xf numFmtId="0" fontId="15" fillId="0" borderId="61" xfId="0" applyFont="1" applyBorder="1" applyAlignment="1">
      <alignment horizontal="left" wrapText="1"/>
    </xf>
    <xf numFmtId="0" fontId="15" fillId="0" borderId="125" xfId="0" applyFont="1" applyBorder="1" applyAlignment="1">
      <alignment horizontal="left" wrapText="1"/>
    </xf>
    <xf numFmtId="0" fontId="15" fillId="0" borderId="16" xfId="0" applyFont="1" applyBorder="1" applyAlignment="1">
      <alignment horizontal="center" wrapText="1"/>
    </xf>
    <xf numFmtId="0" fontId="15" fillId="0" borderId="62" xfId="0" applyFont="1" applyBorder="1" applyAlignment="1">
      <alignment horizontal="left" wrapText="1"/>
    </xf>
    <xf numFmtId="0" fontId="15" fillId="0" borderId="17" xfId="0" applyFont="1" applyBorder="1" applyAlignment="1">
      <alignment horizontal="left" wrapText="1"/>
    </xf>
    <xf numFmtId="0" fontId="15" fillId="0" borderId="126" xfId="0" applyFont="1" applyBorder="1" applyAlignment="1">
      <alignment horizontal="left" wrapText="1"/>
    </xf>
    <xf numFmtId="0" fontId="15" fillId="0" borderId="127" xfId="0" applyFont="1" applyBorder="1" applyAlignment="1">
      <alignment horizontal="left" wrapText="1"/>
    </xf>
    <xf numFmtId="0" fontId="15" fillId="0" borderId="69" xfId="0" applyFont="1" applyBorder="1" applyAlignment="1">
      <alignment horizontal="left" wrapText="1"/>
    </xf>
    <xf numFmtId="0" fontId="15" fillId="0" borderId="69" xfId="0" applyFont="1" applyBorder="1" applyAlignment="1">
      <alignment horizontal="center" wrapText="1"/>
    </xf>
    <xf numFmtId="0" fontId="15" fillId="0" borderId="68" xfId="0" applyFont="1" applyBorder="1" applyAlignment="1">
      <alignment horizontal="center" wrapText="1"/>
    </xf>
    <xf numFmtId="0" fontId="18" fillId="0" borderId="0" xfId="0" applyFont="1" applyAlignment="1" applyProtection="1">
      <alignment horizontal="center"/>
      <protection/>
    </xf>
    <xf numFmtId="0" fontId="0" fillId="0" borderId="0" xfId="0" applyAlignment="1" applyProtection="1">
      <alignment horizontal="center"/>
      <protection/>
    </xf>
    <xf numFmtId="0" fontId="0" fillId="0" borderId="78" xfId="0" applyFont="1" applyBorder="1" applyAlignment="1" applyProtection="1">
      <alignment horizontal="left"/>
      <protection/>
    </xf>
    <xf numFmtId="0" fontId="0" fillId="0" borderId="116" xfId="0" applyFont="1" applyBorder="1" applyAlignment="1" applyProtection="1">
      <alignment horizontal="left"/>
      <protection/>
    </xf>
    <xf numFmtId="0" fontId="0" fillId="0" borderId="128" xfId="0" applyFont="1" applyBorder="1" applyAlignment="1" applyProtection="1">
      <alignment horizontal="left"/>
      <protection/>
    </xf>
    <xf numFmtId="0" fontId="0" fillId="0" borderId="78" xfId="0" applyFont="1" applyBorder="1" applyAlignment="1" applyProtection="1">
      <alignment horizontal="left" wrapText="1"/>
      <protection/>
    </xf>
    <xf numFmtId="0" fontId="0" fillId="0" borderId="116" xfId="0" applyFont="1" applyBorder="1" applyAlignment="1" applyProtection="1">
      <alignment horizontal="left" wrapText="1"/>
      <protection/>
    </xf>
    <xf numFmtId="0" fontId="0" fillId="0" borderId="128" xfId="0" applyFont="1" applyBorder="1" applyAlignment="1" applyProtection="1">
      <alignment horizontal="left" wrapText="1"/>
      <protection/>
    </xf>
    <xf numFmtId="0" fontId="0" fillId="0" borderId="16" xfId="0" applyFont="1" applyFill="1" applyBorder="1" applyAlignment="1" applyProtection="1">
      <alignment horizontal="left" vertical="top" wrapText="1"/>
      <protection/>
    </xf>
    <xf numFmtId="0" fontId="0" fillId="0" borderId="16" xfId="0" applyFont="1" applyBorder="1" applyAlignment="1" applyProtection="1">
      <alignment horizontal="left"/>
      <protection/>
    </xf>
    <xf numFmtId="0" fontId="0" fillId="0" borderId="16" xfId="0" applyFont="1" applyBorder="1" applyAlignment="1" applyProtection="1">
      <alignment horizontal="left" wrapText="1"/>
      <protection/>
    </xf>
    <xf numFmtId="0" fontId="0" fillId="0" borderId="15" xfId="0" applyNumberFormat="1" applyBorder="1" applyAlignment="1" applyProtection="1">
      <alignment horizontal="right"/>
      <protection/>
    </xf>
    <xf numFmtId="0" fontId="0" fillId="0" borderId="15" xfId="0" applyBorder="1" applyAlignment="1" applyProtection="1">
      <alignment horizontal="center"/>
      <protection/>
    </xf>
    <xf numFmtId="0" fontId="0" fillId="0" borderId="15" xfId="0" applyFont="1" applyBorder="1" applyAlignment="1" applyProtection="1">
      <alignment horizontal="center"/>
      <protection/>
    </xf>
    <xf numFmtId="0" fontId="15" fillId="0" borderId="99" xfId="57" applyFont="1" applyFill="1" applyBorder="1" applyAlignment="1" applyProtection="1">
      <alignment horizontal="left" vertical="center" wrapText="1" indent="1"/>
      <protection hidden="1"/>
    </xf>
    <xf numFmtId="0" fontId="15" fillId="0" borderId="0" xfId="57" applyFont="1" applyFill="1" applyBorder="1" applyAlignment="1" applyProtection="1">
      <alignment horizontal="left" vertical="center" wrapText="1" indent="1"/>
      <protection hidden="1"/>
    </xf>
    <xf numFmtId="0" fontId="15" fillId="0" borderId="100" xfId="57" applyFont="1" applyFill="1" applyBorder="1" applyAlignment="1" applyProtection="1">
      <alignment horizontal="left" vertical="center" wrapText="1" indent="1"/>
      <protection hidden="1"/>
    </xf>
    <xf numFmtId="0" fontId="30" fillId="0" borderId="91" xfId="57" applyFont="1" applyBorder="1" applyAlignment="1" applyProtection="1">
      <alignment vertical="center" wrapText="1"/>
      <protection hidden="1"/>
    </xf>
    <xf numFmtId="0" fontId="30" fillId="0" borderId="97" xfId="57" applyFont="1" applyBorder="1" applyAlignment="1" applyProtection="1">
      <alignment vertical="center" wrapText="1"/>
      <protection hidden="1"/>
    </xf>
    <xf numFmtId="0" fontId="30" fillId="0" borderId="98" xfId="57" applyFont="1" applyBorder="1" applyAlignment="1" applyProtection="1">
      <alignment vertical="center" wrapText="1"/>
      <protection hidden="1"/>
    </xf>
    <xf numFmtId="0" fontId="15" fillId="0" borderId="99" xfId="57" applyFont="1" applyBorder="1" applyAlignment="1" applyProtection="1">
      <alignment vertical="center" wrapText="1"/>
      <protection hidden="1"/>
    </xf>
    <xf numFmtId="0" fontId="15" fillId="0" borderId="0" xfId="57" applyFont="1" applyBorder="1" applyAlignment="1" applyProtection="1">
      <alignment vertical="center" wrapText="1"/>
      <protection hidden="1"/>
    </xf>
    <xf numFmtId="0" fontId="15" fillId="0" borderId="100" xfId="57" applyFont="1" applyBorder="1" applyAlignment="1" applyProtection="1">
      <alignment vertical="center" wrapText="1"/>
      <protection hidden="1"/>
    </xf>
    <xf numFmtId="0" fontId="15" fillId="0" borderId="95" xfId="0" applyFont="1" applyBorder="1" applyAlignment="1" applyProtection="1">
      <alignment vertical="center" wrapText="1"/>
      <protection hidden="1"/>
    </xf>
    <xf numFmtId="0" fontId="15" fillId="0" borderId="129" xfId="0" applyFont="1" applyBorder="1" applyAlignment="1" applyProtection="1">
      <alignment vertical="center" wrapText="1"/>
      <protection hidden="1"/>
    </xf>
    <xf numFmtId="0" fontId="15" fillId="0" borderId="130" xfId="0" applyFont="1" applyBorder="1" applyAlignment="1" applyProtection="1">
      <alignment vertical="center" wrapText="1"/>
      <protection hidden="1"/>
    </xf>
    <xf numFmtId="0" fontId="14" fillId="0" borderId="91" xfId="57" applyFont="1" applyBorder="1" applyAlignment="1" applyProtection="1">
      <alignment vertical="center" wrapText="1"/>
      <protection hidden="1"/>
    </xf>
    <xf numFmtId="0" fontId="14" fillId="0" borderId="97" xfId="57" applyFont="1" applyBorder="1" applyAlignment="1" applyProtection="1">
      <alignment vertical="center" wrapText="1"/>
      <protection hidden="1"/>
    </xf>
    <xf numFmtId="0" fontId="14" fillId="0" borderId="98" xfId="57" applyFont="1" applyBorder="1" applyAlignment="1" applyProtection="1">
      <alignment vertical="center" wrapText="1"/>
      <protection hidden="1"/>
    </xf>
    <xf numFmtId="0" fontId="15" fillId="0" borderId="95" xfId="57" applyFont="1" applyBorder="1" applyAlignment="1" applyProtection="1">
      <alignment vertical="center" wrapText="1"/>
      <protection hidden="1"/>
    </xf>
    <xf numFmtId="0" fontId="15" fillId="0" borderId="129" xfId="57" applyFont="1" applyBorder="1" applyAlignment="1" applyProtection="1">
      <alignment vertical="center" wrapText="1"/>
      <protection hidden="1"/>
    </xf>
    <xf numFmtId="0" fontId="15" fillId="0" borderId="130" xfId="57" applyFont="1" applyBorder="1" applyAlignment="1" applyProtection="1">
      <alignment vertical="center" wrapText="1"/>
      <protection hidden="1"/>
    </xf>
    <xf numFmtId="0" fontId="14" fillId="0" borderId="95" xfId="57" applyFont="1" applyFill="1" applyBorder="1" applyAlignment="1" applyProtection="1">
      <alignment horizontal="left" vertical="center" wrapText="1" indent="1"/>
      <protection hidden="1"/>
    </xf>
    <xf numFmtId="0" fontId="14" fillId="0" borderId="130" xfId="57" applyFont="1" applyFill="1" applyBorder="1" applyAlignment="1" applyProtection="1">
      <alignment horizontal="left" vertical="center" wrapText="1" indent="1"/>
      <protection hidden="1"/>
    </xf>
    <xf numFmtId="0" fontId="88" fillId="0" borderId="95" xfId="57" applyFont="1" applyBorder="1" applyAlignment="1" applyProtection="1">
      <alignment vertical="center" wrapText="1"/>
      <protection hidden="1"/>
    </xf>
    <xf numFmtId="0" fontId="88" fillId="0" borderId="130" xfId="57" applyFont="1" applyBorder="1" applyAlignment="1" applyProtection="1">
      <alignment vertical="center" wrapText="1"/>
      <protection hidden="1"/>
    </xf>
    <xf numFmtId="0" fontId="14" fillId="0" borderId="91" xfId="57" applyFont="1" applyFill="1" applyBorder="1" applyAlignment="1" applyProtection="1">
      <alignment vertical="center" wrapText="1"/>
      <protection hidden="1"/>
    </xf>
    <xf numFmtId="0" fontId="14" fillId="0" borderId="97" xfId="57" applyFont="1" applyFill="1" applyBorder="1" applyAlignment="1" applyProtection="1">
      <alignment vertical="center" wrapText="1"/>
      <protection hidden="1"/>
    </xf>
    <xf numFmtId="0" fontId="14" fillId="0" borderId="98" xfId="57" applyFont="1" applyFill="1" applyBorder="1" applyAlignment="1" applyProtection="1">
      <alignment vertical="center" wrapText="1"/>
      <protection hidden="1"/>
    </xf>
    <xf numFmtId="0" fontId="15" fillId="0" borderId="95" xfId="0" applyFont="1" applyFill="1" applyBorder="1" applyAlignment="1" applyProtection="1">
      <alignment vertical="center" wrapText="1"/>
      <protection hidden="1"/>
    </xf>
    <xf numFmtId="0" fontId="15" fillId="0" borderId="129" xfId="0" applyFont="1" applyFill="1" applyBorder="1" applyAlignment="1" applyProtection="1">
      <alignment vertical="center" wrapText="1"/>
      <protection hidden="1"/>
    </xf>
    <xf numFmtId="0" fontId="15" fillId="0" borderId="130" xfId="0" applyFont="1" applyFill="1" applyBorder="1" applyAlignment="1" applyProtection="1">
      <alignment vertical="center" wrapText="1"/>
      <protection hidden="1"/>
    </xf>
    <xf numFmtId="0" fontId="0" fillId="0" borderId="99" xfId="57" applyFill="1" applyBorder="1" applyAlignment="1" applyProtection="1">
      <alignment horizontal="left" vertical="center" wrapText="1" indent="1"/>
      <protection hidden="1"/>
    </xf>
    <xf numFmtId="0" fontId="0" fillId="0" borderId="0" xfId="57" applyFill="1" applyBorder="1" applyAlignment="1" applyProtection="1">
      <alignment horizontal="left" vertical="center" wrapText="1" indent="1"/>
      <protection hidden="1"/>
    </xf>
    <xf numFmtId="0" fontId="0" fillId="0" borderId="100" xfId="57" applyFill="1" applyBorder="1" applyAlignment="1" applyProtection="1">
      <alignment horizontal="left" vertical="center" wrapText="1" indent="1"/>
      <protection hidden="1"/>
    </xf>
    <xf numFmtId="0" fontId="15" fillId="0" borderId="95" xfId="57" applyFont="1" applyFill="1" applyBorder="1" applyAlignment="1" applyProtection="1">
      <alignment horizontal="left" vertical="center" wrapText="1" indent="1"/>
      <protection hidden="1"/>
    </xf>
    <xf numFmtId="0" fontId="15" fillId="0" borderId="129" xfId="57" applyFont="1" applyFill="1" applyBorder="1" applyAlignment="1" applyProtection="1">
      <alignment horizontal="left" vertical="center" wrapText="1" indent="1"/>
      <protection hidden="1"/>
    </xf>
    <xf numFmtId="0" fontId="15" fillId="0" borderId="130" xfId="57" applyFont="1" applyFill="1" applyBorder="1" applyAlignment="1" applyProtection="1">
      <alignment horizontal="left" vertical="center" wrapText="1" indent="1"/>
      <protection hidden="1"/>
    </xf>
    <xf numFmtId="0" fontId="14" fillId="0" borderId="131" xfId="57" applyFont="1" applyFill="1" applyBorder="1" applyAlignment="1" applyProtection="1">
      <alignment horizontal="center" vertical="center" wrapText="1"/>
      <protection hidden="1"/>
    </xf>
    <xf numFmtId="0" fontId="14" fillId="0" borderId="132" xfId="57" applyFont="1" applyFill="1" applyBorder="1" applyAlignment="1" applyProtection="1">
      <alignment horizontal="center" vertical="center" wrapText="1"/>
      <protection hidden="1"/>
    </xf>
    <xf numFmtId="0" fontId="14" fillId="0" borderId="133" xfId="57" applyFont="1" applyFill="1" applyBorder="1" applyAlignment="1" applyProtection="1">
      <alignment horizontal="center" vertical="center" wrapText="1"/>
      <protection hidden="1"/>
    </xf>
    <xf numFmtId="0" fontId="15" fillId="0" borderId="61" xfId="57" applyFont="1" applyBorder="1" applyAlignment="1" applyProtection="1">
      <alignment horizontal="left" vertical="center" wrapText="1"/>
      <protection hidden="1"/>
    </xf>
    <xf numFmtId="0" fontId="15" fillId="0" borderId="100" xfId="57" applyFont="1" applyBorder="1" applyAlignment="1" applyProtection="1">
      <alignment horizontal="left" vertical="center" wrapText="1"/>
      <protection hidden="1"/>
    </xf>
    <xf numFmtId="0" fontId="22" fillId="0" borderId="0" xfId="57" applyFont="1" applyFill="1" applyAlignment="1" applyProtection="1">
      <alignment horizontal="center" vertical="center" wrapText="1"/>
      <protection hidden="1"/>
    </xf>
    <xf numFmtId="0" fontId="15" fillId="0" borderId="97" xfId="57" applyFont="1" applyFill="1" applyBorder="1" applyAlignment="1" applyProtection="1">
      <alignment vertical="center"/>
      <protection hidden="1"/>
    </xf>
    <xf numFmtId="0" fontId="15" fillId="0" borderId="98" xfId="57" applyFont="1" applyFill="1" applyBorder="1" applyAlignment="1" applyProtection="1">
      <alignment vertical="center"/>
      <protection hidden="1"/>
    </xf>
    <xf numFmtId="0" fontId="0" fillId="0" borderId="99" xfId="57" applyFill="1" applyBorder="1" applyAlignment="1" applyProtection="1">
      <alignment horizontal="center" vertical="center" wrapText="1"/>
      <protection hidden="1"/>
    </xf>
    <xf numFmtId="0" fontId="0" fillId="0" borderId="0" xfId="57" applyFill="1" applyBorder="1" applyAlignment="1" applyProtection="1">
      <alignment horizontal="center" vertical="center" wrapText="1"/>
      <protection hidden="1"/>
    </xf>
    <xf numFmtId="0" fontId="0" fillId="0" borderId="100" xfId="57" applyFill="1" applyBorder="1" applyAlignment="1" applyProtection="1">
      <alignment horizontal="center" vertical="center" wrapText="1"/>
      <protection hidden="1"/>
    </xf>
    <xf numFmtId="0" fontId="14" fillId="0" borderId="95" xfId="57" applyFont="1" applyFill="1" applyBorder="1" applyAlignment="1" applyProtection="1">
      <alignment vertical="center" wrapText="1"/>
      <protection hidden="1"/>
    </xf>
    <xf numFmtId="0" fontId="14" fillId="0" borderId="129" xfId="57" applyFont="1" applyFill="1" applyBorder="1" applyAlignment="1" applyProtection="1">
      <alignment vertical="center" wrapText="1"/>
      <protection hidden="1"/>
    </xf>
    <xf numFmtId="0" fontId="14" fillId="0" borderId="130" xfId="57" applyFont="1" applyFill="1" applyBorder="1" applyAlignment="1" applyProtection="1">
      <alignment vertical="center" wrapText="1"/>
      <protection hidden="1"/>
    </xf>
    <xf numFmtId="0" fontId="14" fillId="0" borderId="134" xfId="0" applyFont="1" applyFill="1" applyBorder="1" applyAlignment="1" applyProtection="1">
      <alignment vertical="center" wrapText="1"/>
      <protection hidden="1"/>
    </xf>
    <xf numFmtId="0" fontId="14" fillId="0" borderId="132" xfId="0" applyFont="1" applyFill="1" applyBorder="1" applyAlignment="1" applyProtection="1">
      <alignment vertical="center" wrapText="1"/>
      <protection hidden="1"/>
    </xf>
    <xf numFmtId="0" fontId="14" fillId="0" borderId="133" xfId="0" applyFont="1" applyFill="1" applyBorder="1" applyAlignment="1" applyProtection="1">
      <alignment vertical="center" wrapText="1"/>
      <protection hidden="1"/>
    </xf>
    <xf numFmtId="0" fontId="14" fillId="0" borderId="91" xfId="57" applyFont="1" applyFill="1" applyBorder="1" applyAlignment="1" applyProtection="1">
      <alignment horizontal="left" vertical="center" wrapText="1" indent="1"/>
      <protection hidden="1"/>
    </xf>
    <xf numFmtId="0" fontId="14" fillId="0" borderId="98" xfId="57" applyFont="1" applyFill="1" applyBorder="1" applyAlignment="1" applyProtection="1">
      <alignment horizontal="left" vertical="center" wrapText="1" indent="1"/>
      <protection hidden="1"/>
    </xf>
    <xf numFmtId="0" fontId="89" fillId="37" borderId="44" xfId="0" applyFont="1" applyFill="1" applyBorder="1" applyAlignment="1">
      <alignment horizontal="center"/>
    </xf>
    <xf numFmtId="0" fontId="89" fillId="37" borderId="69" xfId="0" applyFont="1" applyFill="1" applyBorder="1" applyAlignment="1">
      <alignment horizontal="center"/>
    </xf>
    <xf numFmtId="0" fontId="89" fillId="37" borderId="68" xfId="0" applyFont="1" applyFill="1" applyBorder="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Moneda 2" xfId="55"/>
    <cellStyle name="Neutral" xfId="56"/>
    <cellStyle name="Normal 2" xfId="57"/>
    <cellStyle name="Notas" xfId="58"/>
    <cellStyle name="Percent" xfId="59"/>
    <cellStyle name="Porcentaje 2" xfId="60"/>
    <cellStyle name="Salida" xfId="61"/>
    <cellStyle name="Texto de advertencia" xfId="62"/>
    <cellStyle name="Texto explicativo" xfId="63"/>
    <cellStyle name="Título" xfId="64"/>
    <cellStyle name="Título 2" xfId="65"/>
    <cellStyle name="Título 3" xfId="66"/>
    <cellStyle name="Total" xfId="67"/>
  </cellStyles>
  <dxfs count="9">
    <dxf>
      <font>
        <color theme="0"/>
      </font>
    </dxf>
    <dxf>
      <fill>
        <patternFill>
          <bgColor theme="9" tint="0.7999799847602844"/>
        </patternFill>
      </fill>
    </dxf>
    <dxf>
      <font>
        <b/>
        <i val="0"/>
      </font>
      <fill>
        <patternFill>
          <bgColor rgb="FFFFFF99"/>
        </patternFill>
      </fill>
    </dxf>
    <dxf>
      <fill>
        <patternFill>
          <bgColor theme="9" tint="0.5999600291252136"/>
        </patternFill>
      </fill>
    </dxf>
    <dxf>
      <fill>
        <patternFill>
          <bgColor theme="9" tint="0.7999799847602844"/>
        </patternFill>
      </fill>
    </dxf>
    <dxf>
      <fill>
        <patternFill>
          <bgColor theme="9" tint="0.7999799847602844"/>
        </patternFill>
      </fill>
    </dxf>
    <dxf>
      <border>
        <left/>
        <right/>
        <bottom/>
      </border>
    </dxf>
    <dxf>
      <border>
        <left/>
        <right/>
        <top/>
        <bottom/>
      </border>
    </dxf>
    <dxf>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13</xdr:col>
      <xdr:colOff>0</xdr:colOff>
      <xdr:row>84</xdr:row>
      <xdr:rowOff>0</xdr:rowOff>
    </xdr:to>
    <xdr:sp>
      <xdr:nvSpPr>
        <xdr:cNvPr id="1" name="Rectangle 1393"/>
        <xdr:cNvSpPr>
          <a:spLocks/>
        </xdr:cNvSpPr>
      </xdr:nvSpPr>
      <xdr:spPr>
        <a:xfrm>
          <a:off x="371475" y="5838825"/>
          <a:ext cx="9620250" cy="9220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1019175</xdr:colOff>
      <xdr:row>24</xdr:row>
      <xdr:rowOff>85725</xdr:rowOff>
    </xdr:from>
    <xdr:to>
      <xdr:col>5</xdr:col>
      <xdr:colOff>142875</xdr:colOff>
      <xdr:row>24</xdr:row>
      <xdr:rowOff>85725</xdr:rowOff>
    </xdr:to>
    <xdr:sp>
      <xdr:nvSpPr>
        <xdr:cNvPr id="2" name="2 Conector recto de flecha"/>
        <xdr:cNvSpPr>
          <a:spLocks/>
        </xdr:cNvSpPr>
      </xdr:nvSpPr>
      <xdr:spPr>
        <a:xfrm>
          <a:off x="3752850" y="4143375"/>
          <a:ext cx="781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1</xdr:row>
      <xdr:rowOff>114300</xdr:rowOff>
    </xdr:from>
    <xdr:to>
      <xdr:col>13</xdr:col>
      <xdr:colOff>161925</xdr:colOff>
      <xdr:row>4</xdr:row>
      <xdr:rowOff>28575</xdr:rowOff>
    </xdr:to>
    <xdr:grpSp>
      <xdr:nvGrpSpPr>
        <xdr:cNvPr id="3" name="Grupo 16"/>
        <xdr:cNvGrpSpPr>
          <a:grpSpLocks/>
        </xdr:cNvGrpSpPr>
      </xdr:nvGrpSpPr>
      <xdr:grpSpPr>
        <a:xfrm>
          <a:off x="8220075" y="266700"/>
          <a:ext cx="1933575" cy="447675"/>
          <a:chOff x="3568779" y="5427315"/>
          <a:chExt cx="2697742" cy="616641"/>
        </a:xfrm>
        <a:solidFill>
          <a:srgbClr val="FFFFFF"/>
        </a:solidFill>
      </xdr:grpSpPr>
      <xdr:pic>
        <xdr:nvPicPr>
          <xdr:cNvPr id="4" name="20 Imagen"/>
          <xdr:cNvPicPr preferRelativeResize="1">
            <a:picLocks noChangeAspect="1"/>
          </xdr:cNvPicPr>
        </xdr:nvPicPr>
        <xdr:blipFill>
          <a:blip r:embed="rId1"/>
          <a:srcRect l="22604"/>
          <a:stretch>
            <a:fillRect/>
          </a:stretch>
        </xdr:blipFill>
        <xdr:spPr>
          <a:xfrm>
            <a:off x="4053024" y="5427315"/>
            <a:ext cx="2213497" cy="616641"/>
          </a:xfrm>
          <a:prstGeom prst="rect">
            <a:avLst/>
          </a:prstGeom>
          <a:noFill/>
          <a:ln w="9525" cmpd="sng">
            <a:noFill/>
          </a:ln>
        </xdr:spPr>
      </xdr:pic>
      <xdr:pic>
        <xdr:nvPicPr>
          <xdr:cNvPr id="5" name="Imagen 18"/>
          <xdr:cNvPicPr preferRelativeResize="1">
            <a:picLocks noChangeAspect="1"/>
          </xdr:cNvPicPr>
        </xdr:nvPicPr>
        <xdr:blipFill>
          <a:blip r:embed="rId2"/>
          <a:srcRect r="79331"/>
          <a:stretch>
            <a:fillRect/>
          </a:stretch>
        </xdr:blipFill>
        <xdr:spPr>
          <a:xfrm>
            <a:off x="3568779" y="5458301"/>
            <a:ext cx="503129" cy="534474"/>
          </a:xfrm>
          <a:prstGeom prst="rect">
            <a:avLst/>
          </a:prstGeom>
          <a:noFill/>
          <a:ln w="9525" cmpd="sng">
            <a:noFill/>
          </a:ln>
        </xdr:spPr>
      </xdr:pic>
    </xdr:grpSp>
    <xdr:clientData/>
  </xdr:twoCellAnchor>
  <xdr:twoCellAnchor editAs="oneCell">
    <xdr:from>
      <xdr:col>1</xdr:col>
      <xdr:colOff>76200</xdr:colOff>
      <xdr:row>1</xdr:row>
      <xdr:rowOff>57150</xdr:rowOff>
    </xdr:from>
    <xdr:to>
      <xdr:col>2</xdr:col>
      <xdr:colOff>1952625</xdr:colOff>
      <xdr:row>4</xdr:row>
      <xdr:rowOff>19050</xdr:rowOff>
    </xdr:to>
    <xdr:pic>
      <xdr:nvPicPr>
        <xdr:cNvPr id="6" name="Imagen 1"/>
        <xdr:cNvPicPr preferRelativeResize="1">
          <a:picLocks noChangeAspect="1"/>
        </xdr:cNvPicPr>
      </xdr:nvPicPr>
      <xdr:blipFill>
        <a:blip r:embed="rId3"/>
        <a:stretch>
          <a:fillRect/>
        </a:stretch>
      </xdr:blipFill>
      <xdr:spPr>
        <a:xfrm>
          <a:off x="247650" y="209550"/>
          <a:ext cx="20764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638175</xdr:colOff>
      <xdr:row>2</xdr:row>
      <xdr:rowOff>95250</xdr:rowOff>
    </xdr:to>
    <xdr:pic>
      <xdr:nvPicPr>
        <xdr:cNvPr id="1" name="Imagen 1"/>
        <xdr:cNvPicPr preferRelativeResize="1">
          <a:picLocks noChangeAspect="1"/>
        </xdr:cNvPicPr>
      </xdr:nvPicPr>
      <xdr:blipFill>
        <a:blip r:embed="rId1"/>
        <a:stretch>
          <a:fillRect/>
        </a:stretch>
      </xdr:blipFill>
      <xdr:spPr>
        <a:xfrm>
          <a:off x="0" y="0"/>
          <a:ext cx="20574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209550</xdr:colOff>
      <xdr:row>0</xdr:row>
      <xdr:rowOff>304800</xdr:rowOff>
    </xdr:to>
    <xdr:pic>
      <xdr:nvPicPr>
        <xdr:cNvPr id="1" name="Picture 1" descr="n_log"/>
        <xdr:cNvPicPr preferRelativeResize="1">
          <a:picLocks noChangeAspect="1"/>
        </xdr:cNvPicPr>
      </xdr:nvPicPr>
      <xdr:blipFill>
        <a:blip r:embed="rId1"/>
        <a:stretch>
          <a:fillRect/>
        </a:stretch>
      </xdr:blipFill>
      <xdr:spPr>
        <a:xfrm>
          <a:off x="0" y="9525"/>
          <a:ext cx="1143000" cy="295275"/>
        </a:xfrm>
        <a:prstGeom prst="rect">
          <a:avLst/>
        </a:prstGeom>
        <a:noFill/>
        <a:ln w="9525" cmpd="sng">
          <a:noFill/>
        </a:ln>
      </xdr:spPr>
    </xdr:pic>
    <xdr:clientData/>
  </xdr:twoCellAnchor>
  <xdr:twoCellAnchor>
    <xdr:from>
      <xdr:col>3</xdr:col>
      <xdr:colOff>323850</xdr:colOff>
      <xdr:row>45</xdr:row>
      <xdr:rowOff>38100</xdr:rowOff>
    </xdr:from>
    <xdr:to>
      <xdr:col>3</xdr:col>
      <xdr:colOff>400050</xdr:colOff>
      <xdr:row>45</xdr:row>
      <xdr:rowOff>114300</xdr:rowOff>
    </xdr:to>
    <xdr:sp>
      <xdr:nvSpPr>
        <xdr:cNvPr id="2" name="Oval 2"/>
        <xdr:cNvSpPr>
          <a:spLocks/>
        </xdr:cNvSpPr>
      </xdr:nvSpPr>
      <xdr:spPr>
        <a:xfrm>
          <a:off x="3019425" y="106584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45</xdr:row>
      <xdr:rowOff>38100</xdr:rowOff>
    </xdr:from>
    <xdr:to>
      <xdr:col>4</xdr:col>
      <xdr:colOff>409575</xdr:colOff>
      <xdr:row>45</xdr:row>
      <xdr:rowOff>114300</xdr:rowOff>
    </xdr:to>
    <xdr:sp>
      <xdr:nvSpPr>
        <xdr:cNvPr id="3" name="Oval 3"/>
        <xdr:cNvSpPr>
          <a:spLocks/>
        </xdr:cNvSpPr>
      </xdr:nvSpPr>
      <xdr:spPr>
        <a:xfrm>
          <a:off x="4000500" y="106584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77</xdr:row>
      <xdr:rowOff>38100</xdr:rowOff>
    </xdr:from>
    <xdr:to>
      <xdr:col>5</xdr:col>
      <xdr:colOff>923925</xdr:colOff>
      <xdr:row>121</xdr:row>
      <xdr:rowOff>152400</xdr:rowOff>
    </xdr:to>
    <xdr:sp>
      <xdr:nvSpPr>
        <xdr:cNvPr id="1" name="Text Box 4"/>
        <xdr:cNvSpPr txBox="1">
          <a:spLocks noChangeArrowheads="1"/>
        </xdr:cNvSpPr>
      </xdr:nvSpPr>
      <xdr:spPr>
        <a:xfrm>
          <a:off x="276225" y="13677900"/>
          <a:ext cx="7934325" cy="7239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La presente Oferta Vinculante establece los términos y condiciones específicos mediante los cuales Scotiabank Inverlat, S.A. Institución de Banca Múltiple, Grupo Financiero Scotiabank Inverlat (El Banco), estaría dispuesto a otorgar el Crédito Garantizado a la Vivienda al Solicitante, cuyo destino es: la adquisición de vivienda, nueva (terminada al 95%) o usada (terminada al 100%), para casa habitación o de descanso.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vigencia de esta Oferta Vinculante es de 20 días naturales contados a partir de su fecha de recepción. El Banco se obliga a otorgar el Crédito Garantizado a la Vivienda en los términos y condiciones que se indican, siempre y cuando dentro del plazo señalado el Solicitante dé aviso por escrito de la aceptación de la Oferta Vinculante,  requisite y entregue toda la documentación soporte de la información que se haya declarado en la solicitud y el Banco compruebe: a)la identidad del Solicitante; b)la veracidad y autenticidad de los datos proporcionados en la Solicitud de Crédito; c)la capacidad crediticia conforme a las sanas prácticas y condiciones de mercado; d)la elaboración de un avalúo practicado por un valuador autorizado; e)la historia registral del inmueble objeto de la garantía y su origen; y  f)el cumplimiento de las demás formalidades que requiera la ley.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estos efectos, se entenderá que la capacidad crediticia se modificará: a)si se presenta algún cambio negativo en la situación financiera del Solicitante, Coacreditado o del Obligado Solidario, en su caso;  b)si se presenta cualquier cambio en la situación laboral de las personas indicadas; o c)si se generan actos que disminuyan su solvencia económica.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partir de la recepción de esta Oferta, El Banco estará facultado para verificar, en cualquier momento, la situación de las personas señaladas en la Solicitud de Crédito, en las sociedades de información crediticia (Buró de Crédito) o bien solicitar la información necesaria para verificar su situación financiera y laboral, o cualquier otro modelo de evaluación que el Banco aplique en forma generalizada.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Avisos, leyendas y notas aclaratorias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Una vez aceptada la Oferta Vinculante y entregada toda la documentación prevista en la Solicitud de Crédito, correrá un plazo máximo de 75 días naturales dentro del cual deberá celebrarse, otorgarse y formalizarse el Crédito Garantizado a la Vivienda. No obstante, las partes podrán de mutuo acuerdo ampliar el citado plazo.
</a:t>
          </a:r>
          <a:r>
            <a:rPr lang="en-US" cap="none" sz="1000" b="0" i="0" u="none" baseline="0">
              <a:solidFill>
                <a:srgbClr val="000000"/>
              </a:solidFill>
              <a:latin typeface="Arial"/>
              <a:ea typeface="Arial"/>
              <a:cs typeface="Arial"/>
            </a:rPr>
            <a:t>El Banco contará con 30 días naturales a partir de la aceptación de la Oferta Vinculante para analizar la documentación e información proporcionada por el Solicitante, así como el cumplimiento de todos los requisitos que establezca la normatividad aplicable. Una vez vencido el plazo, el Solicitante y el Banco contarán con 45 días naturales para celebrar y formalizar el Crédito Garantizado a la Vivienda.
</a:t>
          </a:r>
          <a:r>
            <a:rPr lang="en-US" cap="none" sz="1000" b="0" i="0" u="none" baseline="0">
              <a:solidFill>
                <a:srgbClr val="000000"/>
              </a:solidFill>
              <a:latin typeface="Arial"/>
              <a:ea typeface="Arial"/>
              <a:cs typeface="Arial"/>
            </a:rPr>
            <a:t>En caso de que el Banco decidiera no otorgar el Crédito Garantizado a la Vivienda en los términos establecidos en la Oferta Vinculante, debido a que el Solicitante no cumpla con los requisitos establecidos, el Banco podrá modificar los términos de la Oferta Vinculante y dará aviso al Solicitante en un plazo no mayor a 5 días naturales. Una vez recibido el aviso, el Solicitante contará con 5 días naturales para manifestar su conformidad con dichas modificaciones y en su caso, se formalizará el Contrato de Crédito correspondiente. 
</a:t>
          </a:r>
          <a:r>
            <a:rPr lang="en-US" cap="none" sz="1000" b="0" i="0" u="none" baseline="0">
              <a:solidFill>
                <a:srgbClr val="000000"/>
              </a:solidFill>
              <a:latin typeface="Arial"/>
              <a:ea typeface="Arial"/>
              <a:cs typeface="Arial"/>
            </a:rPr>
            <a:t>Dentro de este plazo, el Banco estará obligado a celebrar el Crédito Garantizado a la Vivienda en los términos y condiciones establecidos en la Oferta Vinculante, salvo que por causas no imputables al Banco, no se cumplan los requisitos o condiciones señalados.
</a:t>
          </a:r>
          <a:r>
            <a:rPr lang="en-US" cap="none" sz="1000" b="0" i="0" u="none" baseline="0">
              <a:solidFill>
                <a:srgbClr val="000000"/>
              </a:solidFill>
              <a:latin typeface="Arial"/>
              <a:ea typeface="Arial"/>
              <a:cs typeface="Arial"/>
            </a:rPr>
            <a:t>Independientemente de lo anterior, el Banco acepta expresamente que recibirá el pago adelantado por parte de cualquier otra Entidad y le cederá todos sus derechos derivados del contrato correspondiente. Asimismo, el Banco acepta expresamente que admitirá la Sustitución de Deudor en los términos que establece los artículos 13 y 14 de la Ley de Transparencia y de Fomento a la Competencia en el Crédito Garantizado.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comisión que en su caso aplique el Banco al formalizar una Subrogación, será de al menos el equivalente a la Comisión de Apertura de Crédito que esté vigente en esa fecha.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importe del Crédito señalado en la presente Oferta Vinculante podrá ser modificado en caso de que la capacidad crediticia o el valor de la garantía, al momento de la aceptación de la presente oferta por parte del Solicitante o al momento de la formalización del crédito, fuere distinto al declarado en la Solicitud de Crédito; sin embargo, en tales supuestos, el Banco procurará mantener la Tasa de Interés Ofrecida en la presente Oferta Vinculante.
</a:t>
          </a:r>
        </a:p>
      </xdr:txBody>
    </xdr:sp>
    <xdr:clientData/>
  </xdr:twoCellAnchor>
  <xdr:twoCellAnchor>
    <xdr:from>
      <xdr:col>0</xdr:col>
      <xdr:colOff>314325</xdr:colOff>
      <xdr:row>122</xdr:row>
      <xdr:rowOff>28575</xdr:rowOff>
    </xdr:from>
    <xdr:to>
      <xdr:col>5</xdr:col>
      <xdr:colOff>942975</xdr:colOff>
      <xdr:row>168</xdr:row>
      <xdr:rowOff>133350</xdr:rowOff>
    </xdr:to>
    <xdr:sp>
      <xdr:nvSpPr>
        <xdr:cNvPr id="2" name="Text Box 5"/>
        <xdr:cNvSpPr txBox="1">
          <a:spLocks noChangeArrowheads="1"/>
        </xdr:cNvSpPr>
      </xdr:nvSpPr>
      <xdr:spPr>
        <a:xfrm>
          <a:off x="314325" y="20955000"/>
          <a:ext cx="7915275" cy="7553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 caso de que el Solicitante acepte la Oferta Vinculante y cumpla con todos los requisitos establecidos en la Ley para que el Banco le otorgue el Crédito Garantizado a la Vivienda, el Banco pondrá a disposición del Solicitante, el modelo de clausulado que contenga los derechos y obligaciones de las partes, conforme al cual pretenda formalizar el crédito correspondiente. Dicho modelo se entregará a petición del Solicitante en el lugar en que se hayan llevado a cabo los trámites correspondientes, una vez que el Banco haya autorizado el otorgamiento del crédito.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Leyendas de Riesgos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su crédito es de tasa variable, los intereses que se generen a su cargo, pueden cambiar y, en su caso, aumentar ante un ajuste en las tasas de interés utilizadas como referencia.
</a:t>
          </a:r>
          <a:r>
            <a:rPr lang="en-US" cap="none" sz="1000" b="0" i="0" u="none" baseline="0">
              <a:solidFill>
                <a:srgbClr val="000000"/>
              </a:solidFill>
              <a:latin typeface="Arial"/>
              <a:ea typeface="Arial"/>
              <a:cs typeface="Arial"/>
            </a:rPr>
            <a:t>Esta operación puede variar según las condiciones de mercado existentes, sobre todo se usen referencias variables.
</a:t>
          </a:r>
          <a:r>
            <a:rPr lang="en-US" cap="none" sz="1000" b="0" i="0" u="none" baseline="0">
              <a:solidFill>
                <a:srgbClr val="000000"/>
              </a:solidFill>
              <a:latin typeface="Arial"/>
              <a:ea typeface="Arial"/>
              <a:cs typeface="Arial"/>
            </a:rPr>
            <a:t>Contratar créditos en exceso a su capacidad de pago puede afectar su patrimonio y su historial crediticio.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Recomendaciones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 recordamos que en caso de que la fecha límite de su pago corresponda a un día inhábil bancario, podrá realizar dicho pago sin cargo adicional el siguiente día hábil bancario.
</a:t>
          </a:r>
          <a:r>
            <a:rPr lang="en-US" cap="none" sz="1000" b="1" i="0" u="none" baseline="0">
              <a:solidFill>
                <a:srgbClr val="000000"/>
              </a:solidFill>
              <a:latin typeface="Arial"/>
              <a:ea typeface="Arial"/>
              <a:cs typeface="Arial"/>
            </a:rPr>
            <a:t>Le recordamos mantener actualizado su nombre, Registro Federal de Contribuyente, Clave Unica de Registro Personal y domicilio, para que su constancia de deducción este debidamente requisitada, acuda a su sucursal o llame al centro de atención a clientes.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Causas y penas por la terminación de la Oferta Vinculante y en su caso, del Crédito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caso de que el Solicitante incumpla con alguno de los requisitos, supuestos o documentos señalados, la presente Oferta quedará sin efecto y el Banco no estará obligado en forma alguna a otorgar el crédito al Solicitante.
</a:t>
          </a:r>
          <a:r>
            <a:rPr lang="en-US" cap="none" sz="1000" b="0" i="0" u="none" baseline="0">
              <a:solidFill>
                <a:srgbClr val="000000"/>
              </a:solidFill>
              <a:latin typeface="Arial"/>
              <a:ea typeface="Arial"/>
              <a:cs typeface="Arial"/>
            </a:rPr>
            <a:t> Si se comprueba que los datos proporcionados en la información o en los documentos presentados para la obtención del crédito son falsos.
</a:t>
          </a:r>
          <a:r>
            <a:rPr lang="en-US" cap="none" sz="1000" b="0" i="0" u="none" baseline="0">
              <a:solidFill>
                <a:srgbClr val="000000"/>
              </a:solidFill>
              <a:latin typeface="Arial"/>
              <a:ea typeface="Arial"/>
              <a:cs typeface="Arial"/>
            </a:rPr>
            <a:t> Si no destina el importe del crédito como complemento para el pago del inmueble que se adquiera.
</a:t>
          </a:r>
          <a:r>
            <a:rPr lang="en-US" cap="none" sz="1000" b="0" i="0" u="none" baseline="0">
              <a:solidFill>
                <a:srgbClr val="000000"/>
              </a:solidFill>
              <a:latin typeface="Arial"/>
              <a:ea typeface="Arial"/>
              <a:cs typeface="Arial"/>
            </a:rPr>
            <a:t> Si deja de cubrir puntualmente cualquier cantidad a su cargo, derivada del contrato, especialmente si no efectúa uno o más de los pagos mensuales convenidos.
</a:t>
          </a:r>
          <a:r>
            <a:rPr lang="en-US" cap="none" sz="1000" b="0" i="0" u="none" baseline="0">
              <a:solidFill>
                <a:srgbClr val="000000"/>
              </a:solidFill>
              <a:latin typeface="Arial"/>
              <a:ea typeface="Arial"/>
              <a:cs typeface="Arial"/>
            </a:rPr>
            <a:t> Si no paga durante dos bimestres consecutivos, el impuesto predial, derechos por servicio de agua, o cualesquier otro impuesto o derecho aplicable por las autoridades al inmueble hipotecado.
</a:t>
          </a:r>
          <a:r>
            <a:rPr lang="en-US" cap="none" sz="1000" b="0" i="0" u="none" baseline="0">
              <a:solidFill>
                <a:srgbClr val="000000"/>
              </a:solidFill>
              <a:latin typeface="Arial"/>
              <a:ea typeface="Arial"/>
              <a:cs typeface="Arial"/>
            </a:rPr>
            <a:t> Si no comprueba al Banco, cuando éste así lo solicite, estar al corriente en el pago de los impuestos y derechos mencionados en el inciso precedente.
</a:t>
          </a:r>
          <a:r>
            <a:rPr lang="en-US" cap="none" sz="1000" b="0" i="0" u="none" baseline="0">
              <a:solidFill>
                <a:srgbClr val="000000"/>
              </a:solidFill>
              <a:latin typeface="Arial"/>
              <a:ea typeface="Arial"/>
              <a:cs typeface="Arial"/>
            </a:rPr>
            <a:t> Si transmite, en cualquier forma, la propiedad del inmueble hipotecado o la grava por cualquier concepto, sin autorización previa y por escrito del Banco.
</a:t>
          </a:r>
          <a:r>
            <a:rPr lang="en-US" cap="none" sz="1000" b="0" i="0" u="none" baseline="0">
              <a:solidFill>
                <a:srgbClr val="000000"/>
              </a:solidFill>
              <a:latin typeface="Arial"/>
              <a:ea typeface="Arial"/>
              <a:cs typeface="Arial"/>
            </a:rPr>
            <a:t> Si el inmueble hipotecado es materia de embargo, ya sea éste de naturaleza civil, mercantil, fiscal, laboral o administrativa.
</a:t>
          </a:r>
          <a:r>
            <a:rPr lang="en-US" cap="none" sz="1000" b="0" i="0" u="none" baseline="0">
              <a:solidFill>
                <a:srgbClr val="000000"/>
              </a:solidFill>
              <a:latin typeface="Arial"/>
              <a:ea typeface="Arial"/>
              <a:cs typeface="Arial"/>
            </a:rPr>
            <a:t> Si el inmueble hipotecado es dado en arrendamiento o concede su uso o goce a terceros bajo cualquier acto jurídico, sin la previa autorización por escrito del Banco.
</a:t>
          </a:r>
          <a:r>
            <a:rPr lang="en-US" cap="none" sz="1000" b="0" i="0" u="none" baseline="0">
              <a:solidFill>
                <a:srgbClr val="000000"/>
              </a:solidFill>
              <a:latin typeface="Arial"/>
              <a:ea typeface="Arial"/>
              <a:cs typeface="Arial"/>
            </a:rPr>
            <a:t> Si el valor del inmueble hipotecado disminuye, resultando insuficiente el mismo para garantizar el crédito, salvo que el Acreditado, mejore la garantía en los términos de los artículos dos mil novecientos siete y dos mil novecientos nueve, del Código Civil vigente para el Distrito Federal, facultando al Banco, para practicar cuantas inspecciones técnicas y periciales considere convenientes o necesarias, a su juicio.
</a:t>
          </a:r>
          <a:r>
            <a:rPr lang="en-US" cap="none" sz="1000" b="0" i="0" u="none" baseline="0">
              <a:solidFill>
                <a:srgbClr val="000000"/>
              </a:solidFill>
              <a:latin typeface="Arial"/>
              <a:ea typeface="Arial"/>
              <a:cs typeface="Arial"/>
            </a:rPr>
            <a:t> Si no cubre puntualmente el costo de las primas y gastos correspondientes a los seguros de obra y responsabilidad civil y de daños del inmueble hipotecado, así como de vida del Acreditado.
</a:t>
          </a:r>
          <a:r>
            <a:rPr lang="en-US" cap="none" sz="1000" b="0" i="0" u="none" baseline="0">
              <a:solidFill>
                <a:srgbClr val="000000"/>
              </a:solidFill>
              <a:latin typeface="Arial"/>
              <a:ea typeface="Arial"/>
              <a:cs typeface="Arial"/>
            </a:rPr>
            <a:t> Si se encuentra en procedimiento concursal o en concurso.
</a:t>
          </a:r>
          <a:r>
            <a:rPr lang="en-US" cap="none" sz="1000" b="0" i="0" u="none" baseline="0">
              <a:solidFill>
                <a:srgbClr val="000000"/>
              </a:solidFill>
              <a:latin typeface="Arial"/>
              <a:ea typeface="Arial"/>
              <a:cs typeface="Arial"/>
            </a:rPr>
            <a:t> Si efectúa modificaciones al inmueble dado en garantía, sin la autorización previa y por escrito del Banco y de las autoridades correspondientes.
</a:t>
          </a:r>
          <a:r>
            <a:rPr lang="en-US" cap="none" sz="1000" b="0" i="0" u="none" baseline="0">
              <a:solidFill>
                <a:srgbClr val="000000"/>
              </a:solidFill>
              <a:latin typeface="Arial"/>
              <a:ea typeface="Arial"/>
              <a:cs typeface="Arial"/>
            </a:rPr>
            <a:t> Si no mantiene en buen estado el bien objeto de la garantía, y 
</a:t>
          </a:r>
          <a:r>
            <a:rPr lang="en-US" cap="none" sz="1000" b="0" i="0" u="none" baseline="0">
              <a:solidFill>
                <a:srgbClr val="000000"/>
              </a:solidFill>
              <a:latin typeface="Arial"/>
              <a:ea typeface="Arial"/>
              <a:cs typeface="Arial"/>
            </a:rPr>
            <a:t> En todos aquellos casos en que por disposición de la Ley, se hagan exigibles las obligaciones a plazo.
</a:t>
          </a:r>
        </a:p>
      </xdr:txBody>
    </xdr:sp>
    <xdr:clientData/>
  </xdr:twoCellAnchor>
  <xdr:twoCellAnchor>
    <xdr:from>
      <xdr:col>0</xdr:col>
      <xdr:colOff>466725</xdr:colOff>
      <xdr:row>168</xdr:row>
      <xdr:rowOff>142875</xdr:rowOff>
    </xdr:from>
    <xdr:to>
      <xdr:col>2</xdr:col>
      <xdr:colOff>9525</xdr:colOff>
      <xdr:row>168</xdr:row>
      <xdr:rowOff>142875</xdr:rowOff>
    </xdr:to>
    <xdr:sp>
      <xdr:nvSpPr>
        <xdr:cNvPr id="3" name="Line 7"/>
        <xdr:cNvSpPr>
          <a:spLocks/>
        </xdr:cNvSpPr>
      </xdr:nvSpPr>
      <xdr:spPr>
        <a:xfrm flipV="1">
          <a:off x="466725" y="28517850"/>
          <a:ext cx="384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169</xdr:row>
      <xdr:rowOff>0</xdr:rowOff>
    </xdr:from>
    <xdr:to>
      <xdr:col>5</xdr:col>
      <xdr:colOff>1104900</xdr:colOff>
      <xdr:row>169</xdr:row>
      <xdr:rowOff>0</xdr:rowOff>
    </xdr:to>
    <xdr:sp>
      <xdr:nvSpPr>
        <xdr:cNvPr id="4" name="Line 9"/>
        <xdr:cNvSpPr>
          <a:spLocks/>
        </xdr:cNvSpPr>
      </xdr:nvSpPr>
      <xdr:spPr>
        <a:xfrm>
          <a:off x="5067300" y="28527375"/>
          <a:ext cx="3324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175</xdr:row>
      <xdr:rowOff>0</xdr:rowOff>
    </xdr:from>
    <xdr:to>
      <xdr:col>3</xdr:col>
      <xdr:colOff>542925</xdr:colOff>
      <xdr:row>175</xdr:row>
      <xdr:rowOff>0</xdr:rowOff>
    </xdr:to>
    <xdr:sp>
      <xdr:nvSpPr>
        <xdr:cNvPr id="5" name="Line 10"/>
        <xdr:cNvSpPr>
          <a:spLocks/>
        </xdr:cNvSpPr>
      </xdr:nvSpPr>
      <xdr:spPr>
        <a:xfrm>
          <a:off x="3381375" y="29470350"/>
          <a:ext cx="2228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0</xdr:row>
      <xdr:rowOff>0</xdr:rowOff>
    </xdr:from>
    <xdr:to>
      <xdr:col>5</xdr:col>
      <xdr:colOff>552450</xdr:colOff>
      <xdr:row>4</xdr:row>
      <xdr:rowOff>114300</xdr:rowOff>
    </xdr:to>
    <xdr:pic>
      <xdr:nvPicPr>
        <xdr:cNvPr id="6" name="Picture 4" descr="SBROJO"/>
        <xdr:cNvPicPr preferRelativeResize="1">
          <a:picLocks noChangeAspect="1"/>
        </xdr:cNvPicPr>
      </xdr:nvPicPr>
      <xdr:blipFill>
        <a:blip r:embed="rId1"/>
        <a:stretch>
          <a:fillRect/>
        </a:stretch>
      </xdr:blipFill>
      <xdr:spPr>
        <a:xfrm>
          <a:off x="5686425" y="0"/>
          <a:ext cx="2152650" cy="752475"/>
        </a:xfrm>
        <a:prstGeom prst="rect">
          <a:avLst/>
        </a:prstGeom>
        <a:noFill/>
        <a:ln w="9525" cmpd="sng">
          <a:noFill/>
        </a:ln>
      </xdr:spPr>
    </xdr:pic>
    <xdr:clientData/>
  </xdr:twoCellAnchor>
  <xdr:twoCellAnchor editAs="oneCell">
    <xdr:from>
      <xdr:col>0</xdr:col>
      <xdr:colOff>1371600</xdr:colOff>
      <xdr:row>178</xdr:row>
      <xdr:rowOff>38100</xdr:rowOff>
    </xdr:from>
    <xdr:to>
      <xdr:col>5</xdr:col>
      <xdr:colOff>771525</xdr:colOff>
      <xdr:row>221</xdr:row>
      <xdr:rowOff>38100</xdr:rowOff>
    </xdr:to>
    <xdr:pic>
      <xdr:nvPicPr>
        <xdr:cNvPr id="7" name="Picture 92"/>
        <xdr:cNvPicPr preferRelativeResize="1">
          <a:picLocks noChangeAspect="1"/>
        </xdr:cNvPicPr>
      </xdr:nvPicPr>
      <xdr:blipFill>
        <a:blip r:embed="rId2"/>
        <a:stretch>
          <a:fillRect/>
        </a:stretch>
      </xdr:blipFill>
      <xdr:spPr>
        <a:xfrm>
          <a:off x="1371600" y="29984700"/>
          <a:ext cx="6686550" cy="6962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2057400</xdr:colOff>
      <xdr:row>0</xdr:row>
      <xdr:rowOff>485775</xdr:rowOff>
    </xdr:to>
    <xdr:pic>
      <xdr:nvPicPr>
        <xdr:cNvPr id="1" name="Imagen 1"/>
        <xdr:cNvPicPr preferRelativeResize="1">
          <a:picLocks noChangeAspect="1"/>
        </xdr:cNvPicPr>
      </xdr:nvPicPr>
      <xdr:blipFill>
        <a:blip r:embed="rId1"/>
        <a:stretch>
          <a:fillRect/>
        </a:stretch>
      </xdr:blipFill>
      <xdr:spPr>
        <a:xfrm>
          <a:off x="0" y="0"/>
          <a:ext cx="20574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ntranet/NR/ScotiaIntranet/recursos/seguros/Certificados/VidaHipo.doc" TargetMode="External" /><Relationship Id="rId2" Type="http://schemas.openxmlformats.org/officeDocument/2006/relationships/hyperlink" Target="http://intranet/NR/ScotiaIntranet/recursos/seguros/Certificados/DaHipo.doc" TargetMode="External" /><Relationship Id="rId3" Type="http://schemas.openxmlformats.org/officeDocument/2006/relationships/hyperlink" Target="http://intranet/NR/ScotiaIntranet/recursos/seguros/Certificados/crediconsHipo.doc" TargetMode="External" /><Relationship Id="rId4" Type="http://schemas.openxmlformats.org/officeDocument/2006/relationships/oleObject" Target="../embeddings/oleObject_2_0.bin" /><Relationship Id="rId5" Type="http://schemas.openxmlformats.org/officeDocument/2006/relationships/vmlDrawing" Target="../drawings/vmlDrawing3.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2"/>
  <dimension ref="B1:DK492"/>
  <sheetViews>
    <sheetView showGridLines="0" showRowColHeaders="0" tabSelected="1" zoomScale="90" zoomScaleNormal="90" zoomScalePageLayoutView="0" workbookViewId="0" topLeftCell="A1">
      <selection activeCell="D23" sqref="D23"/>
    </sheetView>
  </sheetViews>
  <sheetFormatPr defaultColWidth="4.00390625" defaultRowHeight="12.75"/>
  <cols>
    <col min="1" max="1" width="2.57421875" style="154" customWidth="1"/>
    <col min="2" max="2" width="3.00390625" style="154" customWidth="1"/>
    <col min="3" max="3" width="33.8515625" style="154" customWidth="1"/>
    <col min="4" max="4" width="1.57421875" style="154" customWidth="1"/>
    <col min="5" max="5" width="24.8515625" style="154" customWidth="1"/>
    <col min="6" max="6" width="2.57421875" style="154" customWidth="1"/>
    <col min="7" max="7" width="24.8515625" style="154" customWidth="1"/>
    <col min="8" max="8" width="2.57421875" style="154" customWidth="1"/>
    <col min="9" max="9" width="23.8515625" style="154" customWidth="1"/>
    <col min="10" max="10" width="2.57421875" style="154" customWidth="1"/>
    <col min="11" max="11" width="22.421875" style="158" customWidth="1"/>
    <col min="12" max="13" width="2.57421875" style="158" customWidth="1"/>
    <col min="14" max="14" width="3.57421875" style="158" customWidth="1"/>
    <col min="15" max="15" width="2.57421875" style="158" customWidth="1"/>
    <col min="16" max="16" width="10.28125" style="158" hidden="1" customWidth="1"/>
    <col min="17" max="17" width="13.8515625" style="158" hidden="1" customWidth="1"/>
    <col min="18" max="18" width="12.421875" style="154" hidden="1" customWidth="1"/>
    <col min="19" max="19" width="17.28125" style="154" hidden="1" customWidth="1"/>
    <col min="20" max="20" width="11.8515625" style="154" hidden="1" customWidth="1"/>
    <col min="21" max="21" width="15.140625" style="154" hidden="1" customWidth="1"/>
    <col min="22" max="22" width="16.00390625" style="157" hidden="1" customWidth="1"/>
    <col min="23" max="23" width="13.140625" style="157" hidden="1" customWidth="1"/>
    <col min="24" max="24" width="15.421875" style="156" hidden="1" customWidth="1"/>
    <col min="25" max="25" width="16.140625" style="156" hidden="1" customWidth="1"/>
    <col min="26" max="26" width="11.421875" style="156" hidden="1" customWidth="1"/>
    <col min="27" max="27" width="15.8515625" style="156" hidden="1" customWidth="1"/>
    <col min="28" max="28" width="19.421875" style="156" hidden="1" customWidth="1"/>
    <col min="29" max="29" width="10.421875" style="156" hidden="1" customWidth="1"/>
    <col min="30" max="30" width="11.57421875" style="156" hidden="1" customWidth="1"/>
    <col min="31" max="31" width="17.00390625" style="156" hidden="1" customWidth="1"/>
    <col min="32" max="32" width="5.57421875" style="155" hidden="1" customWidth="1"/>
    <col min="33" max="33" width="6.421875" style="155" hidden="1" customWidth="1"/>
    <col min="34" max="34" width="8.421875" style="155" hidden="1" customWidth="1"/>
    <col min="35" max="35" width="9.57421875" style="155" hidden="1" customWidth="1"/>
    <col min="36" max="36" width="12.57421875" style="155" hidden="1" customWidth="1"/>
    <col min="37" max="37" width="2.421875" style="155" hidden="1" customWidth="1"/>
    <col min="38" max="38" width="5.57421875" style="155" customWidth="1"/>
    <col min="39" max="39" width="6.421875" style="155" customWidth="1"/>
    <col min="40" max="115" width="4.00390625" style="155" customWidth="1"/>
    <col min="116" max="16384" width="4.00390625" style="154" customWidth="1"/>
  </cols>
  <sheetData>
    <row r="1" spans="15:40" ht="12" thickBot="1">
      <c r="O1" s="309"/>
      <c r="P1" s="408"/>
      <c r="Q1" s="309"/>
      <c r="R1" s="326"/>
      <c r="S1" s="326"/>
      <c r="T1" s="326"/>
      <c r="U1" s="326"/>
      <c r="V1" s="264"/>
      <c r="W1" s="264"/>
      <c r="X1" s="264"/>
      <c r="Y1" s="264"/>
      <c r="Z1" s="264"/>
      <c r="AA1" s="264"/>
      <c r="AB1" s="264"/>
      <c r="AC1" s="264"/>
      <c r="AD1" s="264"/>
      <c r="AE1" s="264"/>
      <c r="AF1" s="326"/>
      <c r="AG1" s="326"/>
      <c r="AH1" s="326"/>
      <c r="AI1" s="326"/>
      <c r="AJ1" s="326"/>
      <c r="AK1" s="409" t="s">
        <v>419</v>
      </c>
      <c r="AL1" s="326"/>
      <c r="AM1" s="326"/>
      <c r="AN1" s="309"/>
    </row>
    <row r="2" spans="2:14" ht="12" thickTop="1">
      <c r="B2" s="325"/>
      <c r="C2" s="324"/>
      <c r="D2" s="324"/>
      <c r="E2" s="324"/>
      <c r="F2" s="324"/>
      <c r="G2" s="324"/>
      <c r="H2" s="324"/>
      <c r="I2" s="324"/>
      <c r="J2" s="324"/>
      <c r="K2" s="323"/>
      <c r="L2" s="323"/>
      <c r="M2" s="323"/>
      <c r="N2" s="322"/>
    </row>
    <row r="3" spans="2:14" ht="15">
      <c r="B3" s="297"/>
      <c r="C3" s="534" t="s">
        <v>22</v>
      </c>
      <c r="D3" s="535"/>
      <c r="E3" s="535"/>
      <c r="F3" s="535"/>
      <c r="G3" s="535"/>
      <c r="H3" s="535"/>
      <c r="I3" s="535"/>
      <c r="J3" s="535"/>
      <c r="K3" s="535"/>
      <c r="L3" s="535"/>
      <c r="M3" s="260"/>
      <c r="N3" s="195"/>
    </row>
    <row r="4" spans="2:14" ht="15">
      <c r="B4" s="297"/>
      <c r="C4" s="534" t="s">
        <v>64</v>
      </c>
      <c r="D4" s="535"/>
      <c r="E4" s="535"/>
      <c r="F4" s="535"/>
      <c r="G4" s="535"/>
      <c r="H4" s="535"/>
      <c r="I4" s="535"/>
      <c r="J4" s="535"/>
      <c r="K4" s="535"/>
      <c r="L4" s="535"/>
      <c r="M4" s="260"/>
      <c r="N4" s="195"/>
    </row>
    <row r="5" spans="2:14" ht="15">
      <c r="B5" s="297"/>
      <c r="C5" s="534" t="s">
        <v>380</v>
      </c>
      <c r="D5" s="535"/>
      <c r="E5" s="535"/>
      <c r="F5" s="535"/>
      <c r="G5" s="535"/>
      <c r="H5" s="535"/>
      <c r="I5" s="535"/>
      <c r="J5" s="535"/>
      <c r="K5" s="535"/>
      <c r="L5" s="535"/>
      <c r="M5" s="292"/>
      <c r="N5" s="310"/>
    </row>
    <row r="6" spans="2:14" ht="11.25">
      <c r="B6" s="297"/>
      <c r="C6" s="266"/>
      <c r="D6" s="266"/>
      <c r="E6" s="266"/>
      <c r="F6" s="266"/>
      <c r="G6" s="266"/>
      <c r="H6" s="266"/>
      <c r="I6" s="266"/>
      <c r="J6" s="266"/>
      <c r="M6" s="292"/>
      <c r="N6" s="310"/>
    </row>
    <row r="7" spans="2:14" ht="11.25">
      <c r="B7" s="297"/>
      <c r="C7" s="395">
        <f ca="1">TODAY()</f>
        <v>44743</v>
      </c>
      <c r="D7" s="266"/>
      <c r="E7" s="266"/>
      <c r="F7" s="266"/>
      <c r="G7" s="266"/>
      <c r="H7" s="266"/>
      <c r="I7" s="266"/>
      <c r="J7" s="266"/>
      <c r="M7" s="292"/>
      <c r="N7" s="310"/>
    </row>
    <row r="8" spans="2:14" ht="11.25">
      <c r="B8" s="297"/>
      <c r="C8" s="320"/>
      <c r="D8" s="266"/>
      <c r="E8" s="266"/>
      <c r="F8" s="266"/>
      <c r="G8" s="266"/>
      <c r="H8" s="266"/>
      <c r="I8" s="266"/>
      <c r="J8" s="266"/>
      <c r="M8" s="292"/>
      <c r="N8" s="310"/>
    </row>
    <row r="9" spans="2:14" ht="12.75">
      <c r="B9" s="297"/>
      <c r="C9" s="308" t="s">
        <v>263</v>
      </c>
      <c r="D9" s="266"/>
      <c r="E9" s="266"/>
      <c r="F9" s="158"/>
      <c r="G9" s="158"/>
      <c r="H9" s="308" t="s">
        <v>264</v>
      </c>
      <c r="I9" s="158"/>
      <c r="J9" s="266"/>
      <c r="M9" s="292"/>
      <c r="N9" s="310"/>
    </row>
    <row r="10" spans="2:14" ht="12">
      <c r="B10" s="297"/>
      <c r="C10" s="536"/>
      <c r="D10" s="536"/>
      <c r="E10" s="536"/>
      <c r="F10" s="321"/>
      <c r="G10" s="321"/>
      <c r="H10" s="536"/>
      <c r="I10" s="536"/>
      <c r="J10" s="536"/>
      <c r="M10" s="292"/>
      <c r="N10" s="310"/>
    </row>
    <row r="11" spans="2:14" ht="11.25">
      <c r="B11" s="297"/>
      <c r="C11" s="320"/>
      <c r="D11" s="266"/>
      <c r="E11" s="266"/>
      <c r="F11" s="266"/>
      <c r="G11" s="266"/>
      <c r="H11" s="266"/>
      <c r="I11" s="266"/>
      <c r="J11" s="266"/>
      <c r="M11" s="292"/>
      <c r="N11" s="310"/>
    </row>
    <row r="12" spans="2:14" ht="12.75">
      <c r="B12" s="297"/>
      <c r="C12" s="308" t="s">
        <v>265</v>
      </c>
      <c r="D12" s="266"/>
      <c r="E12" s="266"/>
      <c r="H12" s="308" t="s">
        <v>51</v>
      </c>
      <c r="I12" s="308"/>
      <c r="J12" s="308"/>
      <c r="K12" s="260"/>
      <c r="L12" s="260"/>
      <c r="M12" s="292"/>
      <c r="N12" s="310"/>
    </row>
    <row r="13" spans="2:44" ht="12.75">
      <c r="B13" s="297"/>
      <c r="C13" s="541"/>
      <c r="D13" s="541"/>
      <c r="E13" s="541"/>
      <c r="F13" s="318"/>
      <c r="G13" s="318"/>
      <c r="H13" s="536"/>
      <c r="I13" s="536"/>
      <c r="J13" s="536"/>
      <c r="K13" s="317"/>
      <c r="L13" s="317"/>
      <c r="M13" s="292"/>
      <c r="N13" s="310"/>
      <c r="AR13" s="155" t="s">
        <v>314</v>
      </c>
    </row>
    <row r="14" spans="2:14" ht="11.25">
      <c r="B14" s="297"/>
      <c r="C14" s="319"/>
      <c r="D14" s="319"/>
      <c r="E14" s="319"/>
      <c r="F14" s="260"/>
      <c r="G14" s="260"/>
      <c r="H14" s="260"/>
      <c r="I14" s="260"/>
      <c r="J14" s="260"/>
      <c r="K14" s="260"/>
      <c r="L14" s="260"/>
      <c r="M14" s="292"/>
      <c r="N14" s="310"/>
    </row>
    <row r="15" spans="2:14" ht="12.75">
      <c r="B15" s="297"/>
      <c r="C15" s="308" t="s">
        <v>52</v>
      </c>
      <c r="D15" s="319"/>
      <c r="E15" s="319"/>
      <c r="H15" s="308" t="s">
        <v>53</v>
      </c>
      <c r="I15" s="308"/>
      <c r="J15" s="308"/>
      <c r="K15" s="260"/>
      <c r="L15" s="260"/>
      <c r="M15" s="260"/>
      <c r="N15" s="195"/>
    </row>
    <row r="16" spans="2:14" ht="12.75">
      <c r="B16" s="297"/>
      <c r="C16" s="542"/>
      <c r="D16" s="542"/>
      <c r="E16" s="542"/>
      <c r="F16" s="318"/>
      <c r="G16" s="318"/>
      <c r="H16" s="542"/>
      <c r="I16" s="542"/>
      <c r="J16" s="542"/>
      <c r="K16" s="317"/>
      <c r="L16" s="317"/>
      <c r="M16" s="260"/>
      <c r="N16" s="195"/>
    </row>
    <row r="17" spans="2:14" ht="11.25">
      <c r="B17" s="297"/>
      <c r="C17" s="266"/>
      <c r="D17" s="266"/>
      <c r="E17" s="266"/>
      <c r="F17" s="260"/>
      <c r="G17" s="260"/>
      <c r="H17" s="260"/>
      <c r="I17" s="260"/>
      <c r="J17" s="260"/>
      <c r="K17" s="260"/>
      <c r="M17" s="260"/>
      <c r="N17" s="195"/>
    </row>
    <row r="18" spans="2:14" ht="15">
      <c r="B18" s="297"/>
      <c r="C18" s="311" t="s">
        <v>23</v>
      </c>
      <c r="D18" s="266"/>
      <c r="E18" s="266"/>
      <c r="H18" s="311" t="s">
        <v>26</v>
      </c>
      <c r="I18" s="311"/>
      <c r="J18" s="399" t="s">
        <v>59</v>
      </c>
      <c r="K18" s="400"/>
      <c r="L18" s="401"/>
      <c r="M18" s="260"/>
      <c r="N18" s="402"/>
    </row>
    <row r="19" spans="2:14" ht="12.75">
      <c r="B19" s="297"/>
      <c r="C19" s="315" t="s">
        <v>37</v>
      </c>
      <c r="D19" s="266"/>
      <c r="E19" s="312"/>
      <c r="H19" s="172" t="s">
        <v>25</v>
      </c>
      <c r="I19" s="172"/>
      <c r="J19" s="403" t="s">
        <v>407</v>
      </c>
      <c r="K19" s="400"/>
      <c r="L19" s="401"/>
      <c r="M19" s="260"/>
      <c r="N19" s="402"/>
    </row>
    <row r="20" spans="2:14" ht="18" customHeight="1">
      <c r="B20" s="297"/>
      <c r="C20" s="266"/>
      <c r="D20" s="266"/>
      <c r="E20" s="312"/>
      <c r="F20" s="260"/>
      <c r="G20" s="260"/>
      <c r="H20" s="260"/>
      <c r="I20" s="260"/>
      <c r="J20" s="260"/>
      <c r="K20" s="260"/>
      <c r="L20" s="260"/>
      <c r="M20" s="260"/>
      <c r="N20" s="402"/>
    </row>
    <row r="21" spans="2:14" ht="15">
      <c r="B21" s="297"/>
      <c r="C21" s="311" t="s">
        <v>24</v>
      </c>
      <c r="D21" s="266"/>
      <c r="E21" s="312"/>
      <c r="F21" s="266"/>
      <c r="G21" s="266"/>
      <c r="H21" s="266"/>
      <c r="I21" s="266"/>
      <c r="J21" s="266"/>
      <c r="K21" s="260"/>
      <c r="L21" s="260"/>
      <c r="M21" s="260"/>
      <c r="N21" s="195"/>
    </row>
    <row r="22" spans="2:14" ht="13.5" thickBot="1">
      <c r="B22" s="297"/>
      <c r="C22" s="315" t="s">
        <v>60</v>
      </c>
      <c r="D22" s="266"/>
      <c r="E22" s="312"/>
      <c r="F22" s="266"/>
      <c r="G22" s="266"/>
      <c r="H22" s="314"/>
      <c r="I22" s="266"/>
      <c r="J22" s="266"/>
      <c r="K22" s="260"/>
      <c r="L22" s="260"/>
      <c r="M22" s="260"/>
      <c r="N22" s="195"/>
    </row>
    <row r="23" spans="2:14" ht="16.5" customHeight="1" thickBot="1">
      <c r="B23" s="297"/>
      <c r="C23" s="313"/>
      <c r="D23" s="266"/>
      <c r="E23" s="312" t="str">
        <f>IF(Z46=1,"Valor proyectado del inmueble (valor final)","Ingresos brutos mensuales")</f>
        <v>Valor proyectado del inmueble (valor final)</v>
      </c>
      <c r="F23" s="266"/>
      <c r="G23" s="266"/>
      <c r="H23" s="311">
        <f>IF(AND(Z46=1,AD45=2),"Paso 6","")</f>
      </c>
      <c r="J23" s="266"/>
      <c r="K23" s="266"/>
      <c r="L23" s="266"/>
      <c r="M23" s="260"/>
      <c r="N23" s="195"/>
    </row>
    <row r="24" spans="2:14" ht="16.5" customHeight="1" thickBot="1">
      <c r="B24" s="297"/>
      <c r="C24" s="313"/>
      <c r="D24" s="266"/>
      <c r="E24" s="312" t="str">
        <f>IF(Z46=1,"Enganche","")</f>
        <v>Enganche</v>
      </c>
      <c r="F24" s="266"/>
      <c r="G24" s="266"/>
      <c r="H24" s="172">
        <f>IF(AND(Z46=1,AD45=2),"Teclee su sueldo bruto:","")</f>
      </c>
      <c r="J24" s="266"/>
      <c r="K24" s="305"/>
      <c r="L24" s="305"/>
      <c r="M24" s="260"/>
      <c r="N24" s="195"/>
    </row>
    <row r="25" spans="2:14" ht="16.5" customHeight="1" thickBot="1">
      <c r="B25" s="297"/>
      <c r="C25" s="305"/>
      <c r="D25" s="266"/>
      <c r="E25" s="400" t="s">
        <v>412</v>
      </c>
      <c r="F25" s="410"/>
      <c r="G25" s="411"/>
      <c r="I25" s="316"/>
      <c r="J25" s="311"/>
      <c r="K25" s="311"/>
      <c r="L25" s="311"/>
      <c r="M25" s="260"/>
      <c r="N25" s="195"/>
    </row>
    <row r="26" spans="2:14" ht="18.75" customHeight="1">
      <c r="B26" s="297"/>
      <c r="C26" s="311" t="s">
        <v>408</v>
      </c>
      <c r="D26" s="266"/>
      <c r="L26" s="260"/>
      <c r="M26" s="260"/>
      <c r="N26" s="195"/>
    </row>
    <row r="27" spans="2:23" ht="18" customHeight="1">
      <c r="B27" s="297"/>
      <c r="C27" s="154" t="s">
        <v>70</v>
      </c>
      <c r="D27" s="266"/>
      <c r="G27" s="369" t="s">
        <v>411</v>
      </c>
      <c r="I27" s="368"/>
      <c r="L27" s="260"/>
      <c r="M27" s="260"/>
      <c r="N27" s="310"/>
      <c r="O27" s="309"/>
      <c r="P27" s="309"/>
      <c r="Q27" s="309"/>
      <c r="R27" s="155"/>
      <c r="S27" s="155"/>
      <c r="T27" s="155"/>
      <c r="U27" s="155"/>
      <c r="V27" s="156"/>
      <c r="W27" s="156"/>
    </row>
    <row r="28" spans="2:115" ht="12.75">
      <c r="B28" s="297"/>
      <c r="C28" s="308">
        <f>IF(AND(Z46=1,C23=0,C24=0),"",IF(AND(Z46=1,C24&gt;=C23),"El enganche es más alto o igual que el valor del inmueble",""))</f>
      </c>
      <c r="D28" s="266"/>
      <c r="L28" s="308"/>
      <c r="M28" s="260"/>
      <c r="N28" s="211"/>
      <c r="O28" s="156"/>
      <c r="P28" s="156"/>
      <c r="Q28" s="156"/>
      <c r="R28" s="156"/>
      <c r="S28" s="156"/>
      <c r="T28" s="156"/>
      <c r="U28" s="156"/>
      <c r="V28" s="156"/>
      <c r="W28" s="156"/>
      <c r="DE28" s="154"/>
      <c r="DF28" s="154"/>
      <c r="DG28" s="154"/>
      <c r="DH28" s="154"/>
      <c r="DI28" s="154"/>
      <c r="DJ28" s="154"/>
      <c r="DK28" s="154"/>
    </row>
    <row r="29" spans="2:115" ht="12.75">
      <c r="B29" s="297"/>
      <c r="C29" s="308">
        <f>+IF(C24="","",IF(C24&lt;C23*25%,"Se requiere un enganche mínimo de "&amp;TEXT(C23*25%,"$0,0.00,00"),""))</f>
      </c>
      <c r="D29" s="266"/>
      <c r="E29" s="356"/>
      <c r="F29" s="356"/>
      <c r="G29" s="356"/>
      <c r="H29" s="356"/>
      <c r="I29" s="357"/>
      <c r="J29" s="356"/>
      <c r="K29" s="357"/>
      <c r="L29" s="308"/>
      <c r="M29" s="260"/>
      <c r="N29" s="211"/>
      <c r="O29" s="156"/>
      <c r="P29" s="156"/>
      <c r="Q29" s="156"/>
      <c r="R29" s="156"/>
      <c r="S29" s="156"/>
      <c r="T29" s="156"/>
      <c r="U29" s="156"/>
      <c r="V29" s="156"/>
      <c r="W29" s="156"/>
      <c r="DE29" s="154"/>
      <c r="DF29" s="154"/>
      <c r="DG29" s="154"/>
      <c r="DH29" s="154"/>
      <c r="DI29" s="154"/>
      <c r="DJ29" s="154"/>
      <c r="DK29" s="154"/>
    </row>
    <row r="30" spans="2:115" ht="12.75">
      <c r="B30" s="297"/>
      <c r="C30" s="305">
        <f>IF(AND($Z$46=2,$C$23&lt;$U$72,$C$23&gt;0),"Los ingresos mínimos requeridos son $"&amp;TEXT($U$72,"#,##0"),"")</f>
      </c>
      <c r="D30" s="266"/>
      <c r="E30" s="353"/>
      <c r="F30" s="358"/>
      <c r="G30" s="353"/>
      <c r="H30" s="319"/>
      <c r="I30" s="353"/>
      <c r="J30" s="319"/>
      <c r="K30" s="353"/>
      <c r="L30" s="260"/>
      <c r="M30" s="260"/>
      <c r="N30" s="211"/>
      <c r="O30" s="156"/>
      <c r="P30" s="156"/>
      <c r="Q30" s="156"/>
      <c r="R30" s="156"/>
      <c r="S30" s="156"/>
      <c r="T30" s="156"/>
      <c r="U30" s="156"/>
      <c r="V30" s="156"/>
      <c r="W30" s="156"/>
      <c r="DE30" s="154"/>
      <c r="DF30" s="154"/>
      <c r="DG30" s="154"/>
      <c r="DH30" s="154"/>
      <c r="DI30" s="154"/>
      <c r="DJ30" s="154"/>
      <c r="DK30" s="154"/>
    </row>
    <row r="31" spans="2:115" ht="11.25">
      <c r="B31" s="297"/>
      <c r="C31" s="307">
        <f>IF(OR(C23=0,C24=0),"",IF(AND(Y34&gt;6500000,Y35&gt;50%),"Para el monto solicitado el porcentaje máximo de financiamiento es del 50%",IF(($C$23-$C$24)&gt;$T$72,"Para el monto solicitado el porcentaje máximo de financiamiento es del 75% - Aplica solo para IR 1 y 2","")))</f>
      </c>
      <c r="D31" s="266"/>
      <c r="E31" s="266"/>
      <c r="F31" s="266"/>
      <c r="G31" s="266"/>
      <c r="I31" s="266"/>
      <c r="J31" s="304"/>
      <c r="K31" s="260"/>
      <c r="L31" s="260"/>
      <c r="M31" s="260"/>
      <c r="N31" s="211"/>
      <c r="O31" s="156"/>
      <c r="P31" s="156"/>
      <c r="Q31" s="156"/>
      <c r="R31" s="156"/>
      <c r="S31" s="156"/>
      <c r="T31" s="156"/>
      <c r="U31" s="156"/>
      <c r="V31" s="156"/>
      <c r="W31" s="156"/>
      <c r="DE31" s="154"/>
      <c r="DF31" s="154"/>
      <c r="DG31" s="154"/>
      <c r="DH31" s="154"/>
      <c r="DI31" s="154"/>
      <c r="DJ31" s="154"/>
      <c r="DK31" s="154"/>
    </row>
    <row r="32" spans="2:115" ht="12.75">
      <c r="B32" s="297"/>
      <c r="C32" s="482">
        <f>IF(C23="","","Línea máxima a otorgar puede ser menor por perfil del cliente")</f>
      </c>
      <c r="D32" s="266"/>
      <c r="E32" s="266"/>
      <c r="F32" s="266"/>
      <c r="G32" s="266"/>
      <c r="H32" s="305"/>
      <c r="I32" s="266"/>
      <c r="J32" s="304"/>
      <c r="K32" s="260"/>
      <c r="L32" s="260"/>
      <c r="M32" s="260"/>
      <c r="N32" s="211"/>
      <c r="O32" s="156"/>
      <c r="P32" s="156"/>
      <c r="Q32" s="156"/>
      <c r="R32" s="156"/>
      <c r="S32" s="156"/>
      <c r="T32" s="156"/>
      <c r="U32" s="156"/>
      <c r="V32" s="156"/>
      <c r="W32" s="156"/>
      <c r="DE32" s="154"/>
      <c r="DF32" s="154"/>
      <c r="DG32" s="154"/>
      <c r="DH32" s="154"/>
      <c r="DI32" s="154"/>
      <c r="DJ32" s="154"/>
      <c r="DK32" s="154"/>
    </row>
    <row r="33" spans="2:115" ht="12.75">
      <c r="B33" s="297"/>
      <c r="C33" s="306"/>
      <c r="D33" s="266"/>
      <c r="E33" s="266"/>
      <c r="F33" s="266"/>
      <c r="G33" s="266"/>
      <c r="H33" s="305">
        <f>IF(AND(Z46=2,C23&gt;0,P36=1),"Revisar los valores mínimos de vivienda para cada plaza",IF(AND(C23=0,C24=0),"",IF(AND(Z46=1,C23&lt;500000),"Revisar los valores mínimos de vivienda para cada plaza","")))</f>
      </c>
      <c r="I33" s="266"/>
      <c r="J33" s="304"/>
      <c r="K33" s="260"/>
      <c r="L33" s="260"/>
      <c r="M33" s="260"/>
      <c r="N33" s="211"/>
      <c r="O33" s="156"/>
      <c r="P33" s="156"/>
      <c r="Q33" s="156"/>
      <c r="R33" s="156"/>
      <c r="S33" s="156"/>
      <c r="T33" s="156"/>
      <c r="U33" s="156"/>
      <c r="V33" s="156"/>
      <c r="W33" s="156"/>
      <c r="DE33" s="154"/>
      <c r="DF33" s="154"/>
      <c r="DG33" s="154"/>
      <c r="DH33" s="154"/>
      <c r="DI33" s="154"/>
      <c r="DJ33" s="154"/>
      <c r="DK33" s="154"/>
    </row>
    <row r="34" spans="2:115" ht="12" thickBot="1">
      <c r="B34" s="297"/>
      <c r="C34" s="266"/>
      <c r="D34" s="266"/>
      <c r="E34" s="266"/>
      <c r="F34" s="266"/>
      <c r="G34" s="266"/>
      <c r="H34" s="266"/>
      <c r="I34" s="266"/>
      <c r="J34" s="266"/>
      <c r="K34" s="260"/>
      <c r="L34" s="260"/>
      <c r="M34" s="260"/>
      <c r="N34" s="211"/>
      <c r="O34" s="156"/>
      <c r="P34" s="156"/>
      <c r="Q34" s="156"/>
      <c r="R34" s="156"/>
      <c r="S34" s="156"/>
      <c r="T34" s="156"/>
      <c r="U34" s="156"/>
      <c r="V34" s="156"/>
      <c r="W34" s="156"/>
      <c r="X34" s="156" t="s">
        <v>126</v>
      </c>
      <c r="Y34" s="303">
        <f>MAX(E49:L49)</f>
        <v>0</v>
      </c>
      <c r="DE34" s="154"/>
      <c r="DF34" s="154"/>
      <c r="DG34" s="154"/>
      <c r="DH34" s="154"/>
      <c r="DI34" s="154"/>
      <c r="DJ34" s="154"/>
      <c r="DK34" s="154"/>
    </row>
    <row r="35" spans="2:115" ht="21" customHeight="1" thickTop="1">
      <c r="B35" s="297"/>
      <c r="C35" s="302"/>
      <c r="D35" s="301"/>
      <c r="E35" s="301"/>
      <c r="F35" s="301"/>
      <c r="G35" s="301"/>
      <c r="H35" s="301"/>
      <c r="I35" s="301"/>
      <c r="J35" s="301"/>
      <c r="K35" s="301"/>
      <c r="L35" s="301"/>
      <c r="M35" s="300"/>
      <c r="N35" s="211"/>
      <c r="O35" s="156"/>
      <c r="P35" s="156"/>
      <c r="Q35" s="156"/>
      <c r="R35" s="156"/>
      <c r="S35" s="156"/>
      <c r="T35" s="156"/>
      <c r="U35" s="156"/>
      <c r="V35" s="156"/>
      <c r="W35" s="156"/>
      <c r="X35" s="156" t="s">
        <v>127</v>
      </c>
      <c r="Y35" s="299">
        <f>_xlfn.IFERROR(K49/K47,0)</f>
        <v>0</v>
      </c>
      <c r="Z35" s="299">
        <f>_xlfn.IFERROR(I49/I47,0)</f>
        <v>0</v>
      </c>
      <c r="AA35" s="298">
        <f>_xlfn.IFERROR(G49/G47,0)</f>
        <v>0</v>
      </c>
      <c r="AB35" s="298">
        <f>_xlfn.IFERROR(E49/E47,0)</f>
        <v>0</v>
      </c>
      <c r="DE35" s="154"/>
      <c r="DF35" s="154"/>
      <c r="DG35" s="154"/>
      <c r="DH35" s="154"/>
      <c r="DI35" s="154"/>
      <c r="DJ35" s="154"/>
      <c r="DK35" s="154"/>
    </row>
    <row r="36" spans="2:115" ht="21" customHeight="1">
      <c r="B36" s="297"/>
      <c r="C36" s="540" t="s">
        <v>22</v>
      </c>
      <c r="D36" s="535"/>
      <c r="E36" s="535"/>
      <c r="F36" s="535"/>
      <c r="G36" s="535"/>
      <c r="H36" s="535"/>
      <c r="I36" s="535"/>
      <c r="J36" s="535"/>
      <c r="K36" s="535"/>
      <c r="L36" s="535"/>
      <c r="M36" s="203"/>
      <c r="N36" s="211"/>
      <c r="O36" s="156"/>
      <c r="P36" s="365">
        <f>IF(OR(K47&lt;500000,I47&lt;500000,G47&lt;500000,E47&lt;500000),1,0)</f>
        <v>1</v>
      </c>
      <c r="Q36" s="156"/>
      <c r="R36" s="156"/>
      <c r="S36" s="156"/>
      <c r="T36" s="156"/>
      <c r="U36" s="156"/>
      <c r="V36" s="156"/>
      <c r="W36" s="156"/>
      <c r="DE36" s="154"/>
      <c r="DF36" s="154"/>
      <c r="DG36" s="154"/>
      <c r="DH36" s="154"/>
      <c r="DI36" s="154"/>
      <c r="DJ36" s="154"/>
      <c r="DK36" s="154"/>
    </row>
    <row r="37" spans="2:115" ht="15.75" customHeight="1">
      <c r="B37" s="200"/>
      <c r="C37" s="540" t="s">
        <v>64</v>
      </c>
      <c r="D37" s="535"/>
      <c r="E37" s="535"/>
      <c r="F37" s="535"/>
      <c r="G37" s="535"/>
      <c r="H37" s="535"/>
      <c r="I37" s="535"/>
      <c r="J37" s="535"/>
      <c r="K37" s="535"/>
      <c r="L37" s="535"/>
      <c r="M37" s="203"/>
      <c r="N37" s="211"/>
      <c r="O37" s="156"/>
      <c r="P37" s="365"/>
      <c r="Q37" s="156"/>
      <c r="R37" s="156"/>
      <c r="S37" s="156"/>
      <c r="T37" s="156"/>
      <c r="U37" s="303"/>
      <c r="V37" s="156"/>
      <c r="W37" s="156"/>
      <c r="DE37" s="154"/>
      <c r="DF37" s="154"/>
      <c r="DG37" s="154"/>
      <c r="DH37" s="154"/>
      <c r="DI37" s="154"/>
      <c r="DJ37" s="154"/>
      <c r="DK37" s="154"/>
    </row>
    <row r="38" spans="2:115" ht="18.75" customHeight="1" thickBot="1">
      <c r="B38" s="200"/>
      <c r="C38" s="296"/>
      <c r="D38" s="295"/>
      <c r="E38" s="295"/>
      <c r="F38" s="295"/>
      <c r="G38" s="295"/>
      <c r="H38" s="295"/>
      <c r="I38" s="295"/>
      <c r="J38" s="295"/>
      <c r="K38" s="295"/>
      <c r="L38" s="295"/>
      <c r="M38" s="203"/>
      <c r="N38" s="211"/>
      <c r="O38" s="156"/>
      <c r="P38" s="365">
        <f>IF(OR(K49&lt;250000,I49&lt;250000,G49&lt;250000,E49&lt;250000),1,0)</f>
        <v>1</v>
      </c>
      <c r="Q38" s="156"/>
      <c r="R38" s="156"/>
      <c r="S38" s="156"/>
      <c r="T38" s="156"/>
      <c r="U38" s="303"/>
      <c r="V38" s="156"/>
      <c r="W38" s="156"/>
      <c r="DE38" s="154"/>
      <c r="DF38" s="154"/>
      <c r="DG38" s="154"/>
      <c r="DH38" s="154"/>
      <c r="DI38" s="154"/>
      <c r="DJ38" s="154"/>
      <c r="DK38" s="154"/>
    </row>
    <row r="39" spans="2:115" ht="36.75" customHeight="1" thickBot="1">
      <c r="B39" s="200"/>
      <c r="C39" s="296"/>
      <c r="D39" s="295"/>
      <c r="E39" s="537" t="s">
        <v>380</v>
      </c>
      <c r="F39" s="538"/>
      <c r="G39" s="538"/>
      <c r="H39" s="538"/>
      <c r="I39" s="538"/>
      <c r="J39" s="538"/>
      <c r="K39" s="538"/>
      <c r="L39" s="539"/>
      <c r="M39" s="203"/>
      <c r="N39" s="211"/>
      <c r="O39" s="156"/>
      <c r="P39" s="174"/>
      <c r="Q39" s="174"/>
      <c r="R39" s="174"/>
      <c r="S39" s="174"/>
      <c r="T39" s="174"/>
      <c r="U39" s="174"/>
      <c r="V39" s="174"/>
      <c r="W39" s="174"/>
      <c r="X39" s="174"/>
      <c r="Y39" s="294" t="s">
        <v>54</v>
      </c>
      <c r="Z39" s="174"/>
      <c r="AA39" s="174"/>
      <c r="AB39" s="174"/>
      <c r="AC39" s="174"/>
      <c r="AD39" s="174"/>
      <c r="AE39" s="174"/>
      <c r="DE39" s="154"/>
      <c r="DF39" s="154"/>
      <c r="DG39" s="154"/>
      <c r="DH39" s="154"/>
      <c r="DI39" s="154"/>
      <c r="DJ39" s="154"/>
      <c r="DK39" s="154"/>
    </row>
    <row r="40" spans="2:115" ht="15.75" customHeight="1">
      <c r="B40" s="200"/>
      <c r="C40" s="293"/>
      <c r="D40" s="292"/>
      <c r="E40" s="359"/>
      <c r="F40" s="292"/>
      <c r="G40" s="292"/>
      <c r="H40" s="292"/>
      <c r="I40" s="292"/>
      <c r="J40" s="292"/>
      <c r="M40" s="203"/>
      <c r="N40" s="211"/>
      <c r="O40" s="156"/>
      <c r="P40" s="174"/>
      <c r="Q40" s="174"/>
      <c r="R40" s="174"/>
      <c r="S40" s="174"/>
      <c r="T40" s="174"/>
      <c r="U40" s="174"/>
      <c r="V40" s="174"/>
      <c r="W40" s="174"/>
      <c r="X40" s="174"/>
      <c r="Y40" s="284">
        <f>(C23+C24)*0.5</f>
        <v>0</v>
      </c>
      <c r="Z40" s="174"/>
      <c r="AA40" s="291">
        <f>IF(AND(Z46=1,C23&gt;0,C24&gt;0),C23-Y43,"")</f>
      </c>
      <c r="AB40" s="291"/>
      <c r="AC40" s="174" t="s">
        <v>58</v>
      </c>
      <c r="AD40" s="174"/>
      <c r="AE40" s="174"/>
      <c r="DE40" s="154"/>
      <c r="DF40" s="154"/>
      <c r="DG40" s="154"/>
      <c r="DH40" s="154"/>
      <c r="DI40" s="154"/>
      <c r="DJ40" s="154"/>
      <c r="DK40" s="154"/>
    </row>
    <row r="41" spans="2:115" ht="18.75" customHeight="1">
      <c r="B41" s="200"/>
      <c r="C41" s="234" t="s">
        <v>6</v>
      </c>
      <c r="D41" s="260"/>
      <c r="E41" s="290" t="s">
        <v>382</v>
      </c>
      <c r="F41" s="257"/>
      <c r="G41" s="290" t="s">
        <v>67</v>
      </c>
      <c r="H41" s="158"/>
      <c r="I41" s="290" t="s">
        <v>428</v>
      </c>
      <c r="J41" s="257"/>
      <c r="K41" s="290" t="s">
        <v>429</v>
      </c>
      <c r="L41" s="257"/>
      <c r="M41" s="203"/>
      <c r="N41" s="211"/>
      <c r="O41" s="156"/>
      <c r="P41" s="174"/>
      <c r="Q41" s="237" t="s">
        <v>21</v>
      </c>
      <c r="R41" s="174"/>
      <c r="S41" s="280" t="s">
        <v>6</v>
      </c>
      <c r="T41" s="280">
        <v>1</v>
      </c>
      <c r="U41" s="287"/>
      <c r="V41" s="287"/>
      <c r="W41" s="287"/>
      <c r="X41" s="287"/>
      <c r="Y41" s="284">
        <f>C23*0.75</f>
        <v>0</v>
      </c>
      <c r="Z41" s="174"/>
      <c r="AA41" s="174"/>
      <c r="AB41" s="174"/>
      <c r="AC41" s="174"/>
      <c r="AD41" s="174"/>
      <c r="AE41" s="174"/>
      <c r="DE41" s="154"/>
      <c r="DF41" s="154"/>
      <c r="DG41" s="154"/>
      <c r="DH41" s="154"/>
      <c r="DI41" s="154"/>
      <c r="DJ41" s="154"/>
      <c r="DK41" s="154"/>
    </row>
    <row r="42" spans="2:115" ht="19.5" customHeight="1">
      <c r="B42" s="200"/>
      <c r="C42" s="289"/>
      <c r="D42" s="288"/>
      <c r="E42" s="169"/>
      <c r="F42" s="169"/>
      <c r="H42" s="169"/>
      <c r="I42" s="169"/>
      <c r="J42" s="169"/>
      <c r="K42" s="169"/>
      <c r="M42" s="203"/>
      <c r="N42" s="211"/>
      <c r="O42" s="156"/>
      <c r="P42" s="174"/>
      <c r="Q42" s="174"/>
      <c r="R42" s="174"/>
      <c r="S42" s="174"/>
      <c r="T42" s="174"/>
      <c r="U42" s="287"/>
      <c r="V42" s="287"/>
      <c r="W42" s="287"/>
      <c r="X42" s="287"/>
      <c r="Y42" s="284">
        <f>IF(Y40&lt;Y41,Y40,Y41)</f>
        <v>0</v>
      </c>
      <c r="Z42" s="174"/>
      <c r="AA42" s="286">
        <f>_xlfn.IFERROR(IF((C25+C24)&lt;((C23+C24)*0.5),"Se necesita mayor capital invertido",""),0)</f>
      </c>
      <c r="AB42" s="286"/>
      <c r="AC42" s="174"/>
      <c r="AD42" s="237">
        <v>1</v>
      </c>
      <c r="AE42" s="237"/>
      <c r="DE42" s="154"/>
      <c r="DF42" s="154"/>
      <c r="DG42" s="154"/>
      <c r="DH42" s="154"/>
      <c r="DI42" s="154"/>
      <c r="DJ42" s="154"/>
      <c r="DK42" s="154"/>
    </row>
    <row r="43" spans="2:115" ht="16.5" customHeight="1" thickBot="1">
      <c r="B43" s="200"/>
      <c r="C43" s="285" t="s">
        <v>34</v>
      </c>
      <c r="D43" s="260"/>
      <c r="E43" s="454">
        <f>AA59</f>
        <v>0.085</v>
      </c>
      <c r="F43" s="455"/>
      <c r="G43" s="454">
        <f>AA60</f>
        <v>0.09</v>
      </c>
      <c r="I43" s="454">
        <f>+AA61</f>
        <v>0.095</v>
      </c>
      <c r="J43" s="145"/>
      <c r="K43" s="454">
        <f>+AA62</f>
        <v>0.095</v>
      </c>
      <c r="L43" s="437"/>
      <c r="M43" s="203"/>
      <c r="N43" s="211"/>
      <c r="O43" s="156"/>
      <c r="P43" s="174"/>
      <c r="Q43" s="231">
        <f>_xlfn.IFERROR(K49/K47,0)</f>
        <v>0</v>
      </c>
      <c r="R43" s="174"/>
      <c r="S43" s="174"/>
      <c r="T43" s="174"/>
      <c r="U43" s="174"/>
      <c r="V43" s="174"/>
      <c r="W43" s="174"/>
      <c r="X43" s="174"/>
      <c r="Y43" s="284">
        <f>_xlfn.IFERROR(IF(C25+Y42&lt;=C23,Y42,IF(C25&gt;C23,0,IF(Y42+C25&gt;C23,C23-C25,""))),0)</f>
        <v>0</v>
      </c>
      <c r="Z43" s="174">
        <v>1</v>
      </c>
      <c r="AA43" s="174"/>
      <c r="AB43" s="174"/>
      <c r="AC43" s="174"/>
      <c r="AD43" s="174"/>
      <c r="AE43" s="237"/>
      <c r="DE43" s="154"/>
      <c r="DF43" s="154"/>
      <c r="DG43" s="154"/>
      <c r="DH43" s="154"/>
      <c r="DI43" s="154"/>
      <c r="DJ43" s="154"/>
      <c r="DK43" s="154"/>
    </row>
    <row r="44" spans="2:115" ht="17.25" customHeight="1" thickBot="1">
      <c r="B44" s="200"/>
      <c r="C44" s="234" t="s">
        <v>42</v>
      </c>
      <c r="D44" s="260"/>
      <c r="E44" s="282">
        <v>0.75</v>
      </c>
      <c r="F44" s="281"/>
      <c r="G44" s="282">
        <v>0.75</v>
      </c>
      <c r="H44" s="257"/>
      <c r="I44" s="282">
        <v>0.75</v>
      </c>
      <c r="J44" s="257"/>
      <c r="K44" s="282">
        <v>0.75</v>
      </c>
      <c r="M44" s="203"/>
      <c r="N44" s="211"/>
      <c r="O44" s="156"/>
      <c r="P44" s="174"/>
      <c r="Q44" s="174"/>
      <c r="R44" s="174"/>
      <c r="S44" s="174"/>
      <c r="T44" s="174"/>
      <c r="U44" s="274" t="s">
        <v>46</v>
      </c>
      <c r="V44" s="272" t="str">
        <f>IF(Z46=1,"Valor del inmueble","Ingresos Brutos Mensuales")</f>
        <v>Valor del inmueble</v>
      </c>
      <c r="W44" s="283">
        <f>IF($C$24&gt;0,$C$23-$C$24,$C$23-$C$23*$U$46)</f>
        <v>0</v>
      </c>
      <c r="X44" s="174"/>
      <c r="Y44" s="174"/>
      <c r="Z44" s="174"/>
      <c r="AA44" s="174"/>
      <c r="AB44" s="174"/>
      <c r="AC44" s="279" t="s">
        <v>71</v>
      </c>
      <c r="AD44" s="174"/>
      <c r="AE44" s="174"/>
      <c r="DE44" s="154"/>
      <c r="DF44" s="154"/>
      <c r="DG44" s="154"/>
      <c r="DH44" s="154"/>
      <c r="DI44" s="154"/>
      <c r="DJ44" s="154"/>
      <c r="DK44" s="154"/>
    </row>
    <row r="45" spans="2:115" ht="12.75" customHeight="1" thickBot="1">
      <c r="B45" s="200"/>
      <c r="C45" s="234"/>
      <c r="E45" s="282"/>
      <c r="G45" s="282"/>
      <c r="I45" s="282"/>
      <c r="K45" s="282"/>
      <c r="L45" s="281"/>
      <c r="M45" s="203"/>
      <c r="N45" s="211"/>
      <c r="O45" s="156"/>
      <c r="P45" s="237"/>
      <c r="Q45" s="174"/>
      <c r="R45" s="174"/>
      <c r="S45" s="174"/>
      <c r="T45" s="174"/>
      <c r="U45" s="174"/>
      <c r="V45" s="174"/>
      <c r="W45" s="174"/>
      <c r="X45" s="174"/>
      <c r="Y45" s="174"/>
      <c r="Z45" s="174"/>
      <c r="AA45" s="174"/>
      <c r="AB45" s="276">
        <v>0.25</v>
      </c>
      <c r="AC45" s="174" t="s">
        <v>4</v>
      </c>
      <c r="AD45" s="279">
        <v>1</v>
      </c>
      <c r="AE45" s="275">
        <v>0.9</v>
      </c>
      <c r="AF45" s="155">
        <v>2</v>
      </c>
      <c r="DE45" s="154"/>
      <c r="DF45" s="154"/>
      <c r="DG45" s="154"/>
      <c r="DH45" s="154"/>
      <c r="DI45" s="154"/>
      <c r="DJ45" s="154"/>
      <c r="DK45" s="154"/>
    </row>
    <row r="46" spans="2:115" ht="12.75" customHeight="1" thickBot="1">
      <c r="B46" s="200"/>
      <c r="C46" s="234"/>
      <c r="D46" s="260"/>
      <c r="E46" s="169"/>
      <c r="F46" s="169"/>
      <c r="H46" s="169"/>
      <c r="I46" s="169"/>
      <c r="J46" s="169"/>
      <c r="K46" s="169"/>
      <c r="M46" s="203"/>
      <c r="N46" s="211"/>
      <c r="O46" s="156"/>
      <c r="P46" s="237"/>
      <c r="Q46" s="253" t="s">
        <v>18</v>
      </c>
      <c r="R46" s="251">
        <v>1</v>
      </c>
      <c r="S46" s="174"/>
      <c r="T46" s="253" t="s">
        <v>61</v>
      </c>
      <c r="U46" s="278">
        <f>IF(IF(C23=0,0,IF(C24&gt;0,C24,IF(C24/C23&gt;1,0,C24/C23)))&gt;0,IF(C23=0,0,IF(C24&gt;0,C24,IF(C24/C23&gt;1,0,C24/C23))),IF($AD$45=1,$AB$45,$AB$46))</f>
        <v>0.25</v>
      </c>
      <c r="V46" s="372" t="str">
        <f>IF(R46=2," ","Monto a Financiar")</f>
        <v>Monto a Financiar</v>
      </c>
      <c r="W46" s="239"/>
      <c r="X46" s="371" t="s">
        <v>57</v>
      </c>
      <c r="Y46" s="253" t="s">
        <v>39</v>
      </c>
      <c r="Z46" s="277">
        <v>1</v>
      </c>
      <c r="AA46" s="174">
        <v>1</v>
      </c>
      <c r="AB46" s="276">
        <v>0.25</v>
      </c>
      <c r="AC46" s="174" t="s">
        <v>7</v>
      </c>
      <c r="AD46" s="174"/>
      <c r="AE46" s="275">
        <v>0.95</v>
      </c>
      <c r="AF46" s="155">
        <v>1</v>
      </c>
      <c r="DE46" s="154"/>
      <c r="DF46" s="154"/>
      <c r="DG46" s="154"/>
      <c r="DH46" s="154"/>
      <c r="DI46" s="154"/>
      <c r="DJ46" s="154"/>
      <c r="DK46" s="154"/>
    </row>
    <row r="47" spans="2:115" ht="12.75" customHeight="1" thickBot="1">
      <c r="B47" s="200"/>
      <c r="C47" s="234" t="s">
        <v>35</v>
      </c>
      <c r="D47" s="260"/>
      <c r="E47" s="244">
        <f>IF($Z$46=1,$C$23,E49/E44)</f>
        <v>0</v>
      </c>
      <c r="F47" s="244"/>
      <c r="G47" s="244">
        <f>IF($Z$46=1,$C$23,G49/G44)</f>
        <v>0</v>
      </c>
      <c r="H47" s="257"/>
      <c r="I47" s="244">
        <f>IF($Z$46=1,$C$23,I49/I44)</f>
        <v>0</v>
      </c>
      <c r="J47" s="257"/>
      <c r="K47" s="244">
        <f>IF($Z$46=1,$C$23,K49/K44)</f>
        <v>0</v>
      </c>
      <c r="L47" s="244"/>
      <c r="M47" s="203"/>
      <c r="N47" s="211"/>
      <c r="O47" s="156"/>
      <c r="P47" s="237"/>
      <c r="Q47" s="269" t="s">
        <v>19</v>
      </c>
      <c r="R47" s="240"/>
      <c r="S47" s="274" t="s">
        <v>45</v>
      </c>
      <c r="T47" s="273"/>
      <c r="U47" s="272" t="str">
        <f>IF(AND(R46=1,Z46=1),"Enganche",IF(AND(R46=2,Z46=1),"Saldo actual",""))</f>
        <v>Enganche</v>
      </c>
      <c r="V47" s="271">
        <f>IF($T$41=1,$E$49,IF(T41=2,$G$49,IF(T41=3,I49,K49)))</f>
        <v>0</v>
      </c>
      <c r="W47" s="270"/>
      <c r="X47" s="496">
        <f>+AB63</f>
        <v>20.58</v>
      </c>
      <c r="Y47" s="269" t="s">
        <v>38</v>
      </c>
      <c r="Z47" s="240"/>
      <c r="AA47" s="174"/>
      <c r="AB47" s="174"/>
      <c r="AC47" s="174"/>
      <c r="AD47" s="174"/>
      <c r="AE47" s="174"/>
      <c r="DE47" s="154"/>
      <c r="DF47" s="154"/>
      <c r="DG47" s="154"/>
      <c r="DH47" s="154"/>
      <c r="DI47" s="154"/>
      <c r="DJ47" s="154"/>
      <c r="DK47" s="154"/>
    </row>
    <row r="48" spans="2:115" ht="12.75" customHeight="1">
      <c r="B48" s="200"/>
      <c r="C48" s="234"/>
      <c r="D48" s="260"/>
      <c r="E48" s="169"/>
      <c r="F48" s="169"/>
      <c r="H48" s="169"/>
      <c r="I48" s="169"/>
      <c r="J48" s="169"/>
      <c r="K48" s="169"/>
      <c r="M48" s="203"/>
      <c r="N48" s="211"/>
      <c r="O48" s="156"/>
      <c r="P48" s="237"/>
      <c r="Q48" s="174"/>
      <c r="R48" s="174"/>
      <c r="S48" s="174"/>
      <c r="T48" s="174"/>
      <c r="U48" s="174"/>
      <c r="V48" s="174"/>
      <c r="W48" s="174"/>
      <c r="X48" s="174"/>
      <c r="Y48" s="174"/>
      <c r="Z48" s="174"/>
      <c r="AA48" s="174"/>
      <c r="AB48" s="174"/>
      <c r="AC48" s="174" t="s">
        <v>73</v>
      </c>
      <c r="AD48" s="261">
        <f>_xlfn.IFERROR(IF(AND(AD45=2,Z46=1),I25,C23),0)</f>
        <v>0</v>
      </c>
      <c r="AE48" s="174"/>
      <c r="DE48" s="154"/>
      <c r="DF48" s="154"/>
      <c r="DG48" s="154"/>
      <c r="DH48" s="154"/>
      <c r="DI48" s="154"/>
      <c r="DJ48" s="154"/>
      <c r="DK48" s="154"/>
    </row>
    <row r="49" spans="2:115" ht="12.75" customHeight="1">
      <c r="B49" s="200"/>
      <c r="C49" s="234" t="s">
        <v>41</v>
      </c>
      <c r="D49" s="260"/>
      <c r="E49" s="244">
        <f>$S$50</f>
        <v>0</v>
      </c>
      <c r="F49" s="244"/>
      <c r="G49" s="244">
        <f>$T$50</f>
        <v>0</v>
      </c>
      <c r="H49" s="257"/>
      <c r="I49" s="244">
        <f>$U$50</f>
        <v>0</v>
      </c>
      <c r="J49" s="257"/>
      <c r="K49" s="244">
        <f>$V$50</f>
        <v>0</v>
      </c>
      <c r="L49" s="244"/>
      <c r="M49" s="203"/>
      <c r="N49" s="211"/>
      <c r="O49" s="156"/>
      <c r="P49" s="174"/>
      <c r="Q49" s="174" t="s">
        <v>394</v>
      </c>
      <c r="R49" s="174"/>
      <c r="S49" s="374">
        <f>IF(AND($AD$45=1,$Z$46=1,$U$46&gt;=0.1),IF($C$24&gt;0,$V$52,$C$23*$T$72),IF(AND($AD$45=2,$Z$46=1,$U$46&gt;=0.05),IF($C$24&gt;0,$C$23*$T$72-$C$24,$C$23*$T$72),IF($Z$46=2,$AE$59,0)))</f>
        <v>0</v>
      </c>
      <c r="T49" s="517">
        <f>IF(AND($AD$45=1,$Z$46=1,$U$46&gt;=0.1),IF($C$24&gt;0,$V$52,$C$23*$T$72),IF(AND($AD$45=2,$Z$46=1,$U$46&gt;=0.05),IF($C$24&gt;0,$C$23*$T$72-$C$24,$C$23*$T$72),IF($Z$46=2,$AE$60,0)))</f>
        <v>0</v>
      </c>
      <c r="U49" s="517">
        <f>IF(AND($AD$45=1,$Z$46=1,$U$46&gt;=0.1),IF($C$24&gt;0,$V$52,$C$23*$T$72),IF(AND($AD$45=2,$Z$46=1,$U$46&gt;=0.05),IF($C$24&gt;0,$C$23*$T$72-$C$24,$C$23*$T$72),IF($Z$46=2,$AE$61,0)))</f>
        <v>0</v>
      </c>
      <c r="V49" s="517">
        <f>IF(AND($AD$45=1,$Z$46=1,$U$46&gt;=0.1),IF($C$24&gt;0,$V$52,$C$23*$T$72),IF(AND($AD$45=2,$Z$46=1,$U$46&gt;=0.05),IF($C$24&gt;0,$C$23*$T$72-$C$24,$C$23*$T$72),IF($Z$46=2,$AE$62,0)))</f>
        <v>0</v>
      </c>
      <c r="W49" s="174"/>
      <c r="X49" s="174"/>
      <c r="Y49" s="174"/>
      <c r="Z49" s="174"/>
      <c r="AA49" s="174"/>
      <c r="AB49" s="174"/>
      <c r="AC49" s="174"/>
      <c r="AD49" s="174"/>
      <c r="AE49" s="174"/>
      <c r="DE49" s="154"/>
      <c r="DF49" s="154"/>
      <c r="DG49" s="154"/>
      <c r="DH49" s="154"/>
      <c r="DI49" s="154"/>
      <c r="DJ49" s="154"/>
      <c r="DK49" s="154"/>
    </row>
    <row r="50" spans="2:115" ht="12.75" customHeight="1">
      <c r="B50" s="200"/>
      <c r="C50" s="234"/>
      <c r="D50" s="260"/>
      <c r="E50" s="169"/>
      <c r="F50" s="169"/>
      <c r="H50" s="169"/>
      <c r="I50" s="169"/>
      <c r="J50" s="169"/>
      <c r="K50" s="169"/>
      <c r="M50" s="203"/>
      <c r="N50" s="211"/>
      <c r="O50" s="156"/>
      <c r="P50" s="174"/>
      <c r="Q50" s="174" t="s">
        <v>395</v>
      </c>
      <c r="R50" s="174"/>
      <c r="S50" s="374">
        <f>IF(AND($AD$45=2,$Z$46=1,$C$23&lt;0),0,IF(AND($Z$46=2,$C$23&lt;$U$72),0,S49))</f>
        <v>0</v>
      </c>
      <c r="T50" s="517">
        <f>IF(AND($AD$45=2,$Z$46=1,$C$23&lt;0),0,IF(AND($Z$46=2,$C$23&lt;$U$72),0,T49))</f>
        <v>0</v>
      </c>
      <c r="U50" s="517">
        <f>IF(AND($AD$45=2,$Z$46=1,$C$23&lt;0),0,IF(AND($Z$46=2,$C$23&lt;$U$72),0,U49))</f>
        <v>0</v>
      </c>
      <c r="V50" s="517">
        <f>IF(AND($AD$45=2,$Z$46=1,$C$23&lt;0),0,IF(AND($Z$46=2,$C$23&lt;$U$72),0,V49))</f>
        <v>0</v>
      </c>
      <c r="W50" s="174"/>
      <c r="X50" s="174"/>
      <c r="Y50" s="174"/>
      <c r="Z50" s="174"/>
      <c r="AA50" s="174"/>
      <c r="AB50" s="174"/>
      <c r="AC50" s="174"/>
      <c r="AD50" s="174"/>
      <c r="AE50" s="174"/>
      <c r="DE50" s="154"/>
      <c r="DF50" s="154"/>
      <c r="DG50" s="154"/>
      <c r="DH50" s="154"/>
      <c r="DI50" s="154"/>
      <c r="DJ50" s="154"/>
      <c r="DK50" s="154"/>
    </row>
    <row r="51" spans="2:115" ht="12.75" customHeight="1">
      <c r="B51" s="200"/>
      <c r="C51" s="263" t="s">
        <v>47</v>
      </c>
      <c r="D51" s="165"/>
      <c r="E51" s="244">
        <f>IF($Z$46=1,E49/1000*AB59,$C$23*$V$72)</f>
        <v>0</v>
      </c>
      <c r="F51" s="244"/>
      <c r="G51" s="244">
        <f>IF($Z$46=1,G49/1000*AB60,$C$23*$V$72)</f>
        <v>0</v>
      </c>
      <c r="H51" s="257"/>
      <c r="I51" s="244">
        <f>IF($Z$46=1,I49/1000*AB61,$C$23*$V$72)</f>
        <v>0</v>
      </c>
      <c r="J51" s="257"/>
      <c r="K51" s="244">
        <f>IF($Z$46=1,K49/1000*AB62,$C$23*$V$72)</f>
        <v>0</v>
      </c>
      <c r="L51" s="244"/>
      <c r="M51" s="203"/>
      <c r="N51" s="211"/>
      <c r="O51" s="156"/>
      <c r="P51" s="174"/>
      <c r="Q51" s="174"/>
      <c r="R51" s="174"/>
      <c r="S51" s="174"/>
      <c r="T51" s="174"/>
      <c r="U51" s="174"/>
      <c r="V51" s="174"/>
      <c r="W51" s="174"/>
      <c r="X51" s="174"/>
      <c r="Y51" s="174"/>
      <c r="Z51" s="174"/>
      <c r="AA51" s="174"/>
      <c r="AB51" s="174"/>
      <c r="AC51" s="174"/>
      <c r="AD51" s="174"/>
      <c r="AE51" s="174"/>
      <c r="DE51" s="154"/>
      <c r="DF51" s="154"/>
      <c r="DG51" s="154"/>
      <c r="DH51" s="154"/>
      <c r="DI51" s="154"/>
      <c r="DJ51" s="154"/>
      <c r="DK51" s="154"/>
    </row>
    <row r="52" spans="2:115" ht="12.75" customHeight="1">
      <c r="B52" s="200"/>
      <c r="C52" s="230"/>
      <c r="D52" s="165"/>
      <c r="E52" s="262"/>
      <c r="F52" s="262"/>
      <c r="H52" s="257"/>
      <c r="I52" s="257"/>
      <c r="J52" s="257"/>
      <c r="K52" s="266"/>
      <c r="M52" s="203"/>
      <c r="N52" s="211"/>
      <c r="O52" s="156"/>
      <c r="P52" s="174"/>
      <c r="Q52" s="174"/>
      <c r="R52" s="174"/>
      <c r="S52" s="174"/>
      <c r="T52" s="515">
        <f>$C$23*$T$72</f>
        <v>0</v>
      </c>
      <c r="U52" s="515">
        <f>+C23-C24</f>
        <v>0</v>
      </c>
      <c r="V52" s="516">
        <f>+MIN(T52:U52)</f>
        <v>0</v>
      </c>
      <c r="W52" s="174"/>
      <c r="X52" s="174"/>
      <c r="Y52" s="174"/>
      <c r="Z52" s="174"/>
      <c r="AA52" s="174"/>
      <c r="AB52" s="174"/>
      <c r="AC52" s="174"/>
      <c r="AD52" s="174"/>
      <c r="AE52" s="268">
        <f>IF(T41=1,E51,G51)</f>
        <v>0</v>
      </c>
      <c r="DE52" s="154"/>
      <c r="DF52" s="154"/>
      <c r="DG52" s="154"/>
      <c r="DH52" s="154"/>
      <c r="DI52" s="154"/>
      <c r="DJ52" s="154"/>
      <c r="DK52" s="154"/>
    </row>
    <row r="53" spans="2:115" ht="12.75" customHeight="1">
      <c r="B53" s="200"/>
      <c r="C53" s="263" t="s">
        <v>48</v>
      </c>
      <c r="D53" s="165"/>
      <c r="E53" s="244">
        <f>E49*IF($Y$81=1,0,$U$75)</f>
        <v>0</v>
      </c>
      <c r="F53" s="244"/>
      <c r="G53" s="244">
        <f>G49*IF($Y$81=1,0,$U$75)</f>
        <v>0</v>
      </c>
      <c r="H53" s="266"/>
      <c r="I53" s="244">
        <f>I49*IF($Y$81=1,0,$U$75)</f>
        <v>0</v>
      </c>
      <c r="J53" s="266"/>
      <c r="K53" s="244">
        <f>K49*IF($Y$81=1,0,$U$75)</f>
        <v>0</v>
      </c>
      <c r="L53" s="244"/>
      <c r="M53" s="203"/>
      <c r="N53" s="211"/>
      <c r="O53" s="156"/>
      <c r="P53" s="174"/>
      <c r="Q53" s="174"/>
      <c r="R53" s="174"/>
      <c r="S53" s="174"/>
      <c r="T53" s="174"/>
      <c r="U53" s="174"/>
      <c r="V53" s="174"/>
      <c r="W53" s="174"/>
      <c r="X53" s="174"/>
      <c r="Y53" s="174"/>
      <c r="Z53" s="174"/>
      <c r="AA53" s="174"/>
      <c r="AB53" s="174"/>
      <c r="AC53" s="174"/>
      <c r="AD53" s="174"/>
      <c r="AE53" s="174"/>
      <c r="DE53" s="154"/>
      <c r="DF53" s="154"/>
      <c r="DG53" s="154"/>
      <c r="DH53" s="154"/>
      <c r="DI53" s="154"/>
      <c r="DJ53" s="154"/>
      <c r="DK53" s="154"/>
    </row>
    <row r="54" spans="2:115" ht="12.75" customHeight="1">
      <c r="B54" s="200"/>
      <c r="C54" s="234"/>
      <c r="D54" s="165"/>
      <c r="E54" s="260"/>
      <c r="F54" s="260"/>
      <c r="H54" s="266"/>
      <c r="I54" s="266"/>
      <c r="J54" s="266"/>
      <c r="K54" s="266"/>
      <c r="M54" s="203"/>
      <c r="N54" s="211"/>
      <c r="O54" s="156"/>
      <c r="P54" s="174"/>
      <c r="Q54" s="174"/>
      <c r="R54" s="174"/>
      <c r="S54" s="517"/>
      <c r="T54" s="517"/>
      <c r="U54" s="517"/>
      <c r="V54" s="517"/>
      <c r="W54" s="174"/>
      <c r="X54" s="174"/>
      <c r="Y54" s="174"/>
      <c r="Z54" s="174"/>
      <c r="AA54" s="174"/>
      <c r="AB54" s="174"/>
      <c r="AC54" s="174"/>
      <c r="AD54" s="174"/>
      <c r="AE54" s="267">
        <v>0</v>
      </c>
      <c r="AF54" s="155" t="s">
        <v>383</v>
      </c>
      <c r="DE54" s="154"/>
      <c r="DF54" s="154"/>
      <c r="DG54" s="154"/>
      <c r="DH54" s="154"/>
      <c r="DI54" s="154"/>
      <c r="DJ54" s="154"/>
      <c r="DK54" s="154"/>
    </row>
    <row r="55" spans="2:115" ht="12.75" customHeight="1">
      <c r="B55" s="200"/>
      <c r="C55" s="263" t="s">
        <v>49</v>
      </c>
      <c r="D55" s="165"/>
      <c r="E55" s="244">
        <f>IF($G$25&gt;0,$G$25,E47)*IF($Y$81=1,0,$U$76)</f>
        <v>0</v>
      </c>
      <c r="F55" s="244"/>
      <c r="G55" s="244">
        <f>IF($G$25&gt;0,$G$25,G47)*IF($Y$81=1,0,$U$76)</f>
        <v>0</v>
      </c>
      <c r="H55" s="266"/>
      <c r="I55" s="244">
        <f>IF($G$25&gt;0,$G$25,I47)*IF($Y$81=1,0,$U$76)</f>
        <v>0</v>
      </c>
      <c r="J55" s="266"/>
      <c r="K55" s="244">
        <f>IF($G$25&gt;0,$G$25,K47)*IF($Y$81=1,0,$U$76)</f>
        <v>0</v>
      </c>
      <c r="L55" s="244"/>
      <c r="M55" s="203"/>
      <c r="N55" s="211"/>
      <c r="O55" s="156"/>
      <c r="P55" s="174"/>
      <c r="Q55" s="174"/>
      <c r="R55" s="174"/>
      <c r="S55" s="174"/>
      <c r="T55" s="174"/>
      <c r="U55" s="174"/>
      <c r="V55" s="174"/>
      <c r="W55" s="174"/>
      <c r="X55" s="174"/>
      <c r="Y55" s="174"/>
      <c r="Z55" s="174"/>
      <c r="AA55" s="174"/>
      <c r="AB55" s="174"/>
      <c r="AC55" s="174"/>
      <c r="AD55" s="174"/>
      <c r="AE55" s="174"/>
      <c r="DE55" s="154"/>
      <c r="DF55" s="154"/>
      <c r="DG55" s="154"/>
      <c r="DH55" s="154"/>
      <c r="DI55" s="154"/>
      <c r="DJ55" s="154"/>
      <c r="DK55" s="154"/>
    </row>
    <row r="56" spans="2:115" ht="12.75" customHeight="1" thickBot="1">
      <c r="B56" s="200"/>
      <c r="C56" s="234"/>
      <c r="D56" s="260"/>
      <c r="E56" s="265"/>
      <c r="F56" s="262"/>
      <c r="G56" s="265"/>
      <c r="H56" s="257"/>
      <c r="I56" s="265"/>
      <c r="J56" s="257"/>
      <c r="K56" s="265"/>
      <c r="M56" s="203"/>
      <c r="N56" s="211"/>
      <c r="O56" s="156"/>
      <c r="P56" s="174"/>
      <c r="Q56" s="174"/>
      <c r="R56" s="174"/>
      <c r="S56" s="174"/>
      <c r="T56" s="174"/>
      <c r="U56" s="174"/>
      <c r="V56" s="174"/>
      <c r="W56" s="174"/>
      <c r="X56" s="174"/>
      <c r="Y56" s="174"/>
      <c r="Z56" s="174"/>
      <c r="AA56" s="174"/>
      <c r="AB56" s="174"/>
      <c r="AC56" s="174"/>
      <c r="AD56" s="174"/>
      <c r="AE56" s="174"/>
      <c r="DE56" s="154"/>
      <c r="DF56" s="154"/>
      <c r="DG56" s="154"/>
      <c r="DH56" s="154"/>
      <c r="DI56" s="154"/>
      <c r="DJ56" s="154"/>
      <c r="DK56" s="154"/>
    </row>
    <row r="57" spans="2:115" ht="12.75" customHeight="1" thickTop="1">
      <c r="B57" s="200"/>
      <c r="C57" s="263" t="s">
        <v>50</v>
      </c>
      <c r="D57" s="260"/>
      <c r="E57" s="244">
        <f>E55+E53+E51</f>
        <v>0</v>
      </c>
      <c r="F57" s="244"/>
      <c r="G57" s="244">
        <f>G55+G53+G51</f>
        <v>0</v>
      </c>
      <c r="H57" s="257"/>
      <c r="I57" s="244">
        <f>I55+I53+I51</f>
        <v>0</v>
      </c>
      <c r="J57" s="257"/>
      <c r="K57" s="244">
        <f>K55+K53+K51</f>
        <v>0</v>
      </c>
      <c r="L57" s="244"/>
      <c r="M57" s="203"/>
      <c r="N57" s="211"/>
      <c r="O57" s="156"/>
      <c r="P57" s="174"/>
      <c r="Q57" s="174"/>
      <c r="R57" s="174"/>
      <c r="S57" s="174"/>
      <c r="T57" s="174"/>
      <c r="U57" s="174"/>
      <c r="V57" s="174"/>
      <c r="W57" s="174"/>
      <c r="X57" s="333"/>
      <c r="Y57" s="334" t="s">
        <v>375</v>
      </c>
      <c r="Z57" s="334" t="s">
        <v>6</v>
      </c>
      <c r="AA57" s="431" t="s">
        <v>376</v>
      </c>
      <c r="AB57" s="431" t="s">
        <v>377</v>
      </c>
      <c r="AC57" s="336" t="s">
        <v>340</v>
      </c>
      <c r="AD57" s="335" t="s">
        <v>378</v>
      </c>
      <c r="AE57" s="335" t="s">
        <v>379</v>
      </c>
      <c r="DE57" s="154"/>
      <c r="DF57" s="154"/>
      <c r="DG57" s="154"/>
      <c r="DH57" s="154"/>
      <c r="DI57" s="154"/>
      <c r="DJ57" s="154"/>
      <c r="DK57" s="154"/>
    </row>
    <row r="58" spans="2:115" ht="12.75" customHeight="1">
      <c r="B58" s="205"/>
      <c r="C58" s="234"/>
      <c r="D58" s="260"/>
      <c r="E58" s="262"/>
      <c r="F58" s="262"/>
      <c r="G58" s="262"/>
      <c r="H58" s="257"/>
      <c r="I58" s="257"/>
      <c r="J58" s="257"/>
      <c r="K58" s="262"/>
      <c r="M58" s="203"/>
      <c r="N58" s="211"/>
      <c r="O58" s="156"/>
      <c r="P58" s="174"/>
      <c r="Q58" s="174"/>
      <c r="R58" s="174"/>
      <c r="S58" s="174"/>
      <c r="T58" s="174"/>
      <c r="U58" s="174"/>
      <c r="V58" s="174"/>
      <c r="W58" s="174"/>
      <c r="X58" s="337" t="s">
        <v>6</v>
      </c>
      <c r="Y58" s="338">
        <v>1</v>
      </c>
      <c r="Z58" s="338">
        <v>1</v>
      </c>
      <c r="AA58" s="335">
        <v>1</v>
      </c>
      <c r="AB58" s="335"/>
      <c r="AC58" s="335" t="s">
        <v>174</v>
      </c>
      <c r="AD58" s="335"/>
      <c r="AE58" s="335"/>
      <c r="DE58" s="154"/>
      <c r="DF58" s="154"/>
      <c r="DG58" s="154"/>
      <c r="DH58" s="154"/>
      <c r="DI58" s="154"/>
      <c r="DJ58" s="154"/>
      <c r="DK58" s="154"/>
    </row>
    <row r="59" spans="2:115" ht="12.75" customHeight="1">
      <c r="B59" s="205"/>
      <c r="C59" s="234" t="s">
        <v>40</v>
      </c>
      <c r="D59" s="260"/>
      <c r="E59" s="259">
        <v>0</v>
      </c>
      <c r="F59" s="259"/>
      <c r="G59" s="259">
        <v>0</v>
      </c>
      <c r="H59" s="257"/>
      <c r="I59" s="259">
        <v>0</v>
      </c>
      <c r="J59" s="257"/>
      <c r="K59" s="259">
        <v>0</v>
      </c>
      <c r="L59" s="257"/>
      <c r="M59" s="203"/>
      <c r="N59" s="211"/>
      <c r="O59" s="156"/>
      <c r="P59" s="174"/>
      <c r="Q59" s="174"/>
      <c r="R59" s="174"/>
      <c r="S59" s="174"/>
      <c r="T59" s="174"/>
      <c r="U59" s="174"/>
      <c r="V59" s="174"/>
      <c r="W59" s="174"/>
      <c r="X59" s="339">
        <v>60</v>
      </c>
      <c r="Y59" s="340" t="s">
        <v>380</v>
      </c>
      <c r="Z59" s="341" t="s">
        <v>381</v>
      </c>
      <c r="AA59" s="493">
        <v>0.085</v>
      </c>
      <c r="AB59" s="426">
        <v>20.58</v>
      </c>
      <c r="AC59" s="342"/>
      <c r="AD59" s="343"/>
      <c r="AE59" s="343">
        <f>$E$51/AB59*1000</f>
        <v>0</v>
      </c>
      <c r="DE59" s="154"/>
      <c r="DF59" s="154"/>
      <c r="DG59" s="154"/>
      <c r="DH59" s="154"/>
      <c r="DI59" s="154"/>
      <c r="DJ59" s="154"/>
      <c r="DK59" s="154"/>
    </row>
    <row r="60" spans="2:115" ht="12.75" customHeight="1">
      <c r="B60" s="205"/>
      <c r="C60" s="234"/>
      <c r="D60" s="258"/>
      <c r="E60" s="257"/>
      <c r="F60" s="257"/>
      <c r="H60" s="257"/>
      <c r="I60" s="257"/>
      <c r="J60" s="257"/>
      <c r="K60" s="257"/>
      <c r="M60" s="203"/>
      <c r="N60" s="211"/>
      <c r="O60" s="156"/>
      <c r="P60" s="174"/>
      <c r="Q60" s="174"/>
      <c r="R60" s="174"/>
      <c r="S60" s="174"/>
      <c r="T60" s="174"/>
      <c r="U60" s="174"/>
      <c r="V60" s="174"/>
      <c r="W60" s="174"/>
      <c r="X60" s="344">
        <v>120</v>
      </c>
      <c r="Y60" s="345" t="s">
        <v>380</v>
      </c>
      <c r="Z60" s="346" t="s">
        <v>69</v>
      </c>
      <c r="AA60" s="425">
        <v>0.09</v>
      </c>
      <c r="AB60" s="428">
        <v>12.75</v>
      </c>
      <c r="AC60" s="347"/>
      <c r="AD60" s="348"/>
      <c r="AE60" s="343">
        <f>$E$51/AB60*1000</f>
        <v>0</v>
      </c>
      <c r="DE60" s="154"/>
      <c r="DF60" s="154"/>
      <c r="DG60" s="154"/>
      <c r="DH60" s="154"/>
      <c r="DI60" s="154"/>
      <c r="DJ60" s="154"/>
      <c r="DK60" s="154"/>
    </row>
    <row r="61" spans="2:115" ht="12.75" customHeight="1">
      <c r="B61" s="205"/>
      <c r="C61" s="256" t="s">
        <v>36</v>
      </c>
      <c r="D61" s="255"/>
      <c r="E61" s="254">
        <f>_xlfn.IFERROR(IF($C$23="",0,IF(AND($Z$46=1,E49/1000*AB59/$V$72&gt;$U$72),E49/1000*AB59/$V$72,IF(AND($Z$46=1,E49/1000*AB59/$V$72&lt;$U$72),$U$72,$C$23))),0)</f>
        <v>0</v>
      </c>
      <c r="F61" s="244"/>
      <c r="G61" s="254">
        <f>_xlfn.IFERROR(IF($C$23="",0,IF(AND($Z$46=1,G49/1000*AB60/$V$72&gt;$U$72),G49/1000*AB60/$V$72,IF(AND($Z$46=1,G49/1000*AB60/$V$72&lt;$U$72),$U$72,$C$23))),0)</f>
        <v>0</v>
      </c>
      <c r="H61" s="238"/>
      <c r="I61" s="254">
        <f>_xlfn.IFERROR(IF($C$23="",0,IF(AND($Z$46=1,I49/1000*AB61/$V$72&gt;$U$72),I49/1000*AB61/$V$72,IF(AND($Z$46=1,I49/1000*AB61/$V$72&lt;$U$72),$U$72,$C$23))),0)</f>
        <v>0</v>
      </c>
      <c r="J61" s="238"/>
      <c r="K61" s="254">
        <f>_xlfn.IFERROR(IF($C$23="",0,IF(AND($Z$46=1,K49/1000*AB62/$V$72&gt;$U$72),K49/1000*AB62/$V$72,IF(AND($Z$46=1,K49/1000*AB62/$V$72&lt;$U$72),$U$72,$C$23))),0)</f>
        <v>0</v>
      </c>
      <c r="L61" s="244"/>
      <c r="M61" s="203"/>
      <c r="N61" s="211"/>
      <c r="O61" s="156"/>
      <c r="P61" s="174"/>
      <c r="Q61" s="174"/>
      <c r="R61" s="174"/>
      <c r="S61" s="174"/>
      <c r="T61" s="174"/>
      <c r="U61" s="174"/>
      <c r="V61" s="174"/>
      <c r="W61" s="174"/>
      <c r="X61" s="344">
        <v>180</v>
      </c>
      <c r="Y61" s="345" t="s">
        <v>380</v>
      </c>
      <c r="Z61" s="346" t="s">
        <v>428</v>
      </c>
      <c r="AA61" s="427">
        <v>0.095</v>
      </c>
      <c r="AB61" s="428">
        <v>10.55</v>
      </c>
      <c r="AC61" s="347"/>
      <c r="AD61" s="348"/>
      <c r="AE61" s="343">
        <f>$E$51/AB61*1000</f>
        <v>0</v>
      </c>
      <c r="DE61" s="154"/>
      <c r="DF61" s="154"/>
      <c r="DG61" s="154"/>
      <c r="DH61" s="154"/>
      <c r="DI61" s="154"/>
      <c r="DJ61" s="154"/>
      <c r="DK61" s="154"/>
    </row>
    <row r="62" spans="2:115" ht="12.75" customHeight="1">
      <c r="B62" s="205"/>
      <c r="C62" s="234"/>
      <c r="D62" s="165"/>
      <c r="E62" s="238"/>
      <c r="F62" s="238"/>
      <c r="H62" s="238"/>
      <c r="I62" s="238"/>
      <c r="J62" s="238"/>
      <c r="K62" s="238"/>
      <c r="M62" s="203"/>
      <c r="N62" s="211"/>
      <c r="O62" s="156"/>
      <c r="P62" s="174"/>
      <c r="Q62" s="174"/>
      <c r="R62" s="174"/>
      <c r="S62" s="174"/>
      <c r="T62" s="174"/>
      <c r="U62" s="174"/>
      <c r="V62" s="174"/>
      <c r="W62" s="174"/>
      <c r="X62" s="349">
        <v>240</v>
      </c>
      <c r="Y62" s="345" t="s">
        <v>380</v>
      </c>
      <c r="Z62" s="350" t="s">
        <v>429</v>
      </c>
      <c r="AA62" s="429">
        <v>0.095</v>
      </c>
      <c r="AB62" s="430">
        <v>9.42</v>
      </c>
      <c r="AC62" s="351"/>
      <c r="AD62" s="352"/>
      <c r="AE62" s="343">
        <f>$E$51/AB62*1000</f>
        <v>0</v>
      </c>
      <c r="DE62" s="154"/>
      <c r="DF62" s="154"/>
      <c r="DG62" s="154"/>
      <c r="DH62" s="154"/>
      <c r="DI62" s="154"/>
      <c r="DJ62" s="154"/>
      <c r="DK62" s="154"/>
    </row>
    <row r="63" spans="2:115" ht="12.75" customHeight="1" thickBot="1">
      <c r="B63" s="205"/>
      <c r="C63" s="234" t="s">
        <v>27</v>
      </c>
      <c r="D63" s="165"/>
      <c r="E63" s="244">
        <v>0</v>
      </c>
      <c r="F63" s="244"/>
      <c r="G63" s="244">
        <f>IF($R$66=1,G49*$U$82,0)</f>
        <v>0</v>
      </c>
      <c r="H63" s="436"/>
      <c r="I63" s="244">
        <f>IF($R$66=1,I49*$U$82,0)</f>
        <v>0</v>
      </c>
      <c r="J63" s="436"/>
      <c r="K63" s="244">
        <f>IF($R$66=1,K49*$U$82,0)</f>
        <v>0</v>
      </c>
      <c r="L63" s="436"/>
      <c r="M63" s="203"/>
      <c r="N63" s="211"/>
      <c r="O63" s="156"/>
      <c r="P63" s="174"/>
      <c r="Q63" s="174"/>
      <c r="R63" s="174"/>
      <c r="S63" s="174"/>
      <c r="T63" s="174"/>
      <c r="U63" s="174"/>
      <c r="V63" s="174"/>
      <c r="W63" s="174"/>
      <c r="X63" s="497">
        <f>IF($T$41=1,$X$59,IF(T41=2,$X$60,IF(T41=3,X61,X62)))</f>
        <v>60</v>
      </c>
      <c r="Y63" s="174"/>
      <c r="Z63" s="376" t="str">
        <f>IF($T$41=1,$Z$59,IF(T41=2,$Z$60,IF(T41=3,Z61,Z62)))</f>
        <v>5 años</v>
      </c>
      <c r="AA63" s="376">
        <f>IF($T$41=1,$AA$59,IF(T41=2,$AA$60,IF(T41=3,AA61,AA62)))</f>
        <v>0.085</v>
      </c>
      <c r="AB63" s="494">
        <f>IF($T$41=1,$AB$59,IF(T41=2,$AB$60,IF(T41=3,AB61,AB62)))</f>
        <v>20.58</v>
      </c>
      <c r="AC63" s="174"/>
      <c r="AD63" s="174"/>
      <c r="AE63" s="517"/>
      <c r="DE63" s="154"/>
      <c r="DF63" s="154"/>
      <c r="DG63" s="154"/>
      <c r="DH63" s="154"/>
      <c r="DI63" s="154"/>
      <c r="DJ63" s="154"/>
      <c r="DK63" s="154"/>
    </row>
    <row r="64" spans="2:115" ht="12.75" customHeight="1">
      <c r="B64" s="200"/>
      <c r="C64" s="234"/>
      <c r="D64" s="165"/>
      <c r="E64" s="238"/>
      <c r="F64" s="238"/>
      <c r="H64" s="238"/>
      <c r="I64" s="238"/>
      <c r="J64" s="238"/>
      <c r="K64" s="238"/>
      <c r="M64" s="203"/>
      <c r="N64" s="211"/>
      <c r="O64" s="156"/>
      <c r="P64" s="253" t="s">
        <v>44</v>
      </c>
      <c r="Q64" s="252" t="s">
        <v>4</v>
      </c>
      <c r="R64" s="252"/>
      <c r="S64" s="251"/>
      <c r="T64" s="174"/>
      <c r="U64" s="174"/>
      <c r="V64" s="174"/>
      <c r="W64" s="174"/>
      <c r="X64" s="174"/>
      <c r="Y64" s="174"/>
      <c r="Z64" s="174"/>
      <c r="AA64" s="174"/>
      <c r="AB64" s="174"/>
      <c r="AC64" s="174"/>
      <c r="AD64" s="174"/>
      <c r="AE64" s="174"/>
      <c r="DC64" s="154"/>
      <c r="DD64" s="154"/>
      <c r="DE64" s="154"/>
      <c r="DF64" s="154"/>
      <c r="DG64" s="154"/>
      <c r="DH64" s="154"/>
      <c r="DI64" s="154"/>
      <c r="DJ64" s="154"/>
      <c r="DK64" s="154"/>
    </row>
    <row r="65" spans="2:115" ht="12.75" customHeight="1" thickBot="1">
      <c r="B65" s="200"/>
      <c r="C65" s="424" t="str">
        <f>"Avalúo     "&amp;IF(OR(AND($Z$46=1,$C$23&gt;$Q$91),AND($Z$46=2,E47&gt;$Q$91)),"'Favor de Cotizar.' - Val. apróx.","")</f>
        <v>Avalúo     </v>
      </c>
      <c r="D65" s="165"/>
      <c r="E65" s="244">
        <f>_xlfn.IFERROR(IF(AND($Z$46=1,$C$23&lt;=$Q$91),VLOOKUP($C$23,$P$71:$R$92,3),IF(AND($Z$46=2,E47&lt;=$Q$91),VLOOKUP(E47,$P$71:$R$92,3),$R$92)),0)</f>
        <v>0</v>
      </c>
      <c r="F65" s="244"/>
      <c r="G65" s="244">
        <f>_xlfn.IFERROR(IF(AND($Z$46=1,$C$23&lt;=$Q$91),VLOOKUP($C$23,$P$71:$R$92,3),IF(AND($Z$46=2,G47&lt;=$Q$91),VLOOKUP(G47,$P$71:$R$92,3),$R$92)),0)</f>
        <v>0</v>
      </c>
      <c r="H65" s="238"/>
      <c r="I65" s="244">
        <f>_xlfn.IFERROR(IF(AND($Z$46=1,$C$23&lt;=$Q$91),VLOOKUP($C$23,$P$71:$R$92,3),IF(AND($Z$46=2,I47&lt;=$Q$91),VLOOKUP(I47,$P$71:$R$92,3),$R$92)),0)</f>
        <v>0</v>
      </c>
      <c r="J65" s="238"/>
      <c r="K65" s="244">
        <f>_xlfn.IFERROR(IF(AND($Z$46=1,$C$23&lt;=$Q$91),VLOOKUP($C$23,$P$71:$R$92,3),IF(AND($Z$46=2,K47&lt;=$Q$91),VLOOKUP(K47,$P$71:$R$92,3),$R$92)),0)</f>
        <v>0</v>
      </c>
      <c r="L65" s="244"/>
      <c r="M65" s="203"/>
      <c r="N65" s="211"/>
      <c r="O65" s="156"/>
      <c r="P65" s="250" t="s">
        <v>20</v>
      </c>
      <c r="Q65" s="239" t="s">
        <v>7</v>
      </c>
      <c r="R65" s="239">
        <v>1</v>
      </c>
      <c r="S65" s="249">
        <f>IF(R65=1,1.16,1.16)</f>
        <v>1.16</v>
      </c>
      <c r="T65" s="174"/>
      <c r="U65" s="174"/>
      <c r="V65" s="174"/>
      <c r="W65" s="174"/>
      <c r="X65" s="174"/>
      <c r="Y65" s="174"/>
      <c r="Z65" s="174"/>
      <c r="AA65" s="174"/>
      <c r="AB65" s="174"/>
      <c r="AC65" s="174"/>
      <c r="AD65" s="174"/>
      <c r="AE65" s="174"/>
      <c r="DC65" s="154"/>
      <c r="DD65" s="154"/>
      <c r="DE65" s="154"/>
      <c r="DF65" s="154"/>
      <c r="DG65" s="154"/>
      <c r="DH65" s="154"/>
      <c r="DI65" s="154"/>
      <c r="DJ65" s="154"/>
      <c r="DK65" s="154"/>
    </row>
    <row r="66" spans="2:115" ht="12.75" customHeight="1">
      <c r="B66" s="200"/>
      <c r="C66" s="234"/>
      <c r="D66" s="165"/>
      <c r="E66" s="238"/>
      <c r="F66" s="238"/>
      <c r="H66" s="238"/>
      <c r="I66" s="238"/>
      <c r="J66" s="238"/>
      <c r="K66" s="238"/>
      <c r="M66" s="203"/>
      <c r="N66" s="211"/>
      <c r="O66" s="156"/>
      <c r="P66" s="248" t="s">
        <v>393</v>
      </c>
      <c r="Q66" s="247"/>
      <c r="R66" s="373">
        <v>1</v>
      </c>
      <c r="S66" s="246" t="s">
        <v>315</v>
      </c>
      <c r="T66" s="246"/>
      <c r="U66" s="246"/>
      <c r="V66" s="245"/>
      <c r="W66" s="239"/>
      <c r="X66" s="174"/>
      <c r="Y66" s="174"/>
      <c r="Z66" s="174"/>
      <c r="AA66" s="174"/>
      <c r="AB66" s="174"/>
      <c r="AC66" s="174"/>
      <c r="AD66" s="174"/>
      <c r="AE66" s="174"/>
      <c r="DC66" s="154"/>
      <c r="DD66" s="154"/>
      <c r="DE66" s="154"/>
      <c r="DF66" s="154"/>
      <c r="DG66" s="154"/>
      <c r="DH66" s="154"/>
      <c r="DI66" s="154"/>
      <c r="DJ66" s="154"/>
      <c r="DK66" s="154"/>
    </row>
    <row r="67" spans="2:115" ht="12.75" customHeight="1" thickBot="1">
      <c r="B67" s="200"/>
      <c r="C67" s="234" t="s">
        <v>55</v>
      </c>
      <c r="D67" s="165"/>
      <c r="E67" s="244">
        <f>IF(E49*$U$85&gt;$V$85,$V$85,E49*$U$85)</f>
        <v>0</v>
      </c>
      <c r="F67" s="244"/>
      <c r="G67" s="244">
        <f>IF(G49*$U$85&gt;$V$85,$V$85,G49*$U$85)</f>
        <v>0</v>
      </c>
      <c r="H67" s="244"/>
      <c r="I67" s="244">
        <f>IF(I49*$U$85&gt;$V$85,$V$85,I49*$U$85)</f>
        <v>0</v>
      </c>
      <c r="J67" s="244"/>
      <c r="K67" s="244">
        <f>IF(K49*$U$85&gt;$V$85,$V$85,K49*$U$85)</f>
        <v>0</v>
      </c>
      <c r="L67" s="244"/>
      <c r="M67" s="203"/>
      <c r="N67" s="211"/>
      <c r="O67" s="156"/>
      <c r="P67" s="243" t="s">
        <v>427</v>
      </c>
      <c r="Q67" s="242"/>
      <c r="R67" s="242" t="str">
        <f>IF(R66=2,3%,"NO APLICA")</f>
        <v>NO APLICA</v>
      </c>
      <c r="S67" s="241" t="s">
        <v>294</v>
      </c>
      <c r="T67" s="241"/>
      <c r="U67" s="241"/>
      <c r="V67" s="240"/>
      <c r="W67" s="239"/>
      <c r="X67" s="174"/>
      <c r="Y67" s="174"/>
      <c r="Z67" s="174"/>
      <c r="AA67" s="174"/>
      <c r="AB67" s="174"/>
      <c r="AC67" s="174"/>
      <c r="AD67" s="174"/>
      <c r="AE67" s="174"/>
      <c r="DC67" s="154"/>
      <c r="DD67" s="154"/>
      <c r="DE67" s="154"/>
      <c r="DF67" s="154"/>
      <c r="DG67" s="154"/>
      <c r="DH67" s="154"/>
      <c r="DI67" s="154"/>
      <c r="DJ67" s="154"/>
      <c r="DK67" s="154"/>
    </row>
    <row r="68" spans="2:115" ht="12.75" customHeight="1">
      <c r="B68" s="200"/>
      <c r="C68" s="234"/>
      <c r="D68" s="165"/>
      <c r="E68" s="238"/>
      <c r="F68" s="238"/>
      <c r="H68" s="238"/>
      <c r="I68" s="238"/>
      <c r="J68" s="238"/>
      <c r="K68" s="238"/>
      <c r="M68" s="203"/>
      <c r="N68" s="211"/>
      <c r="O68" s="156"/>
      <c r="P68" s="237" t="s">
        <v>9</v>
      </c>
      <c r="Q68" s="235">
        <v>250</v>
      </c>
      <c r="R68" s="235">
        <v>250</v>
      </c>
      <c r="S68" s="235">
        <v>250</v>
      </c>
      <c r="T68" s="235">
        <v>250</v>
      </c>
      <c r="U68" s="235">
        <v>250</v>
      </c>
      <c r="V68" s="235"/>
      <c r="W68" s="235"/>
      <c r="X68" s="174"/>
      <c r="Y68" s="174"/>
      <c r="Z68" s="174"/>
      <c r="AA68" s="174"/>
      <c r="AB68" s="174"/>
      <c r="AC68" s="174"/>
      <c r="AD68" s="174"/>
      <c r="AE68" s="174"/>
      <c r="DC68" s="154"/>
      <c r="DD68" s="154"/>
      <c r="DE68" s="154"/>
      <c r="DF68" s="154"/>
      <c r="DG68" s="154"/>
      <c r="DH68" s="154"/>
      <c r="DI68" s="154"/>
      <c r="DJ68" s="154"/>
      <c r="DK68" s="154"/>
    </row>
    <row r="69" spans="2:115" ht="12.75" customHeight="1">
      <c r="B69" s="200"/>
      <c r="C69" s="234" t="s">
        <v>8</v>
      </c>
      <c r="D69" s="165"/>
      <c r="E69" s="233" t="s">
        <v>388</v>
      </c>
      <c r="F69" s="233"/>
      <c r="G69" s="233" t="s">
        <v>388</v>
      </c>
      <c r="H69" s="165"/>
      <c r="I69" s="233" t="s">
        <v>388</v>
      </c>
      <c r="J69" s="165"/>
      <c r="K69" s="233" t="s">
        <v>388</v>
      </c>
      <c r="L69" s="233"/>
      <c r="M69" s="203"/>
      <c r="N69" s="211"/>
      <c r="O69" s="156"/>
      <c r="P69" s="174" t="s">
        <v>0</v>
      </c>
      <c r="Q69" s="236">
        <f>_xlfn.IFERROR(IF(C23&lt;$Q$91,VLOOKUP(C23,$P$71:$R$92,3),"Cotización especial"),0)</f>
        <v>0</v>
      </c>
      <c r="R69" s="235"/>
      <c r="S69" s="235"/>
      <c r="T69" s="174"/>
      <c r="U69" s="174"/>
      <c r="V69" s="174"/>
      <c r="W69" s="174"/>
      <c r="X69" s="174"/>
      <c r="Y69" s="174"/>
      <c r="Z69" s="174"/>
      <c r="AA69" s="174"/>
      <c r="AB69" s="174"/>
      <c r="AC69" s="174"/>
      <c r="AD69" s="174"/>
      <c r="AE69" s="174"/>
      <c r="DC69" s="154"/>
      <c r="DD69" s="154"/>
      <c r="DE69" s="154"/>
      <c r="DF69" s="154"/>
      <c r="DG69" s="154"/>
      <c r="DH69" s="154"/>
      <c r="DI69" s="154"/>
      <c r="DJ69" s="154"/>
      <c r="DK69" s="154"/>
    </row>
    <row r="70" spans="2:115" ht="12.75" customHeight="1">
      <c r="B70" s="200"/>
      <c r="C70" s="234"/>
      <c r="D70" s="165"/>
      <c r="E70" s="233"/>
      <c r="F70" s="233"/>
      <c r="G70" s="233"/>
      <c r="H70" s="165"/>
      <c r="I70" s="165"/>
      <c r="J70" s="165"/>
      <c r="M70" s="203"/>
      <c r="N70" s="211"/>
      <c r="O70" s="156"/>
      <c r="P70" s="232" t="s">
        <v>1</v>
      </c>
      <c r="Q70" s="232" t="s">
        <v>2</v>
      </c>
      <c r="R70" s="232" t="s">
        <v>3</v>
      </c>
      <c r="S70" s="184"/>
      <c r="T70" s="174"/>
      <c r="U70" s="174"/>
      <c r="V70" s="174"/>
      <c r="W70" s="174"/>
      <c r="X70" s="174"/>
      <c r="Y70" s="174"/>
      <c r="Z70" s="174"/>
      <c r="AA70" s="174"/>
      <c r="AB70" s="174"/>
      <c r="AC70" s="174"/>
      <c r="AD70" s="174"/>
      <c r="AE70" s="174"/>
      <c r="DC70" s="154"/>
      <c r="DD70" s="154"/>
      <c r="DE70" s="154"/>
      <c r="DF70" s="154"/>
      <c r="DG70" s="154"/>
      <c r="DH70" s="154"/>
      <c r="DI70" s="154"/>
      <c r="DJ70" s="154"/>
      <c r="DK70" s="154"/>
    </row>
    <row r="71" spans="2:115" ht="15.75" customHeight="1" thickBot="1">
      <c r="B71" s="205"/>
      <c r="C71" s="230"/>
      <c r="D71" s="165"/>
      <c r="E71" s="165"/>
      <c r="F71" s="165"/>
      <c r="G71" s="165"/>
      <c r="H71" s="165"/>
      <c r="I71" s="165"/>
      <c r="J71" s="165"/>
      <c r="K71" s="165"/>
      <c r="L71" s="165"/>
      <c r="M71" s="203"/>
      <c r="N71" s="211"/>
      <c r="O71" s="156"/>
      <c r="P71" s="422">
        <v>0.01</v>
      </c>
      <c r="Q71" s="422">
        <v>500000</v>
      </c>
      <c r="R71" s="422">
        <v>1900</v>
      </c>
      <c r="S71" s="184"/>
      <c r="T71" s="229" t="s">
        <v>316</v>
      </c>
      <c r="U71" s="229" t="s">
        <v>413</v>
      </c>
      <c r="V71" s="229" t="s">
        <v>330</v>
      </c>
      <c r="W71" s="174"/>
      <c r="X71" s="366" t="s">
        <v>391</v>
      </c>
      <c r="Y71" s="174"/>
      <c r="Z71" s="174"/>
      <c r="AA71" s="174"/>
      <c r="AB71" s="174"/>
      <c r="AC71" s="174"/>
      <c r="AD71" s="174"/>
      <c r="AE71" s="174"/>
      <c r="DC71" s="154"/>
      <c r="DD71" s="154"/>
      <c r="DE71" s="154"/>
      <c r="DF71" s="154"/>
      <c r="DG71" s="154"/>
      <c r="DH71" s="154"/>
      <c r="DI71" s="154"/>
      <c r="DJ71" s="154"/>
      <c r="DK71" s="154"/>
    </row>
    <row r="72" spans="2:115" ht="18.75" customHeight="1" thickBot="1" thickTop="1">
      <c r="B72" s="205"/>
      <c r="C72" s="228" t="s">
        <v>43</v>
      </c>
      <c r="D72" s="227"/>
      <c r="E72" s="227"/>
      <c r="F72" s="227"/>
      <c r="G72" s="227"/>
      <c r="H72" s="227"/>
      <c r="I72" s="227"/>
      <c r="J72" s="227"/>
      <c r="K72" s="227"/>
      <c r="L72" s="227"/>
      <c r="M72" s="226"/>
      <c r="N72" s="211"/>
      <c r="O72" s="156"/>
      <c r="P72" s="422">
        <v>500001</v>
      </c>
      <c r="Q72" s="422">
        <v>1000000</v>
      </c>
      <c r="R72" s="422">
        <v>3300</v>
      </c>
      <c r="S72" s="184"/>
      <c r="T72" s="225">
        <v>0.75</v>
      </c>
      <c r="U72" s="421">
        <v>10000</v>
      </c>
      <c r="V72" s="225">
        <v>0.5</v>
      </c>
      <c r="W72" s="174"/>
      <c r="X72" s="367">
        <v>0.045</v>
      </c>
      <c r="Y72" s="432"/>
      <c r="Z72" s="174"/>
      <c r="AA72" s="174"/>
      <c r="AB72" s="174"/>
      <c r="AC72" s="174"/>
      <c r="AD72" s="174"/>
      <c r="AE72" s="174"/>
      <c r="DE72" s="154"/>
      <c r="DF72" s="154"/>
      <c r="DG72" s="154"/>
      <c r="DH72" s="154"/>
      <c r="DI72" s="154"/>
      <c r="DJ72" s="154"/>
      <c r="DK72" s="154"/>
    </row>
    <row r="73" spans="2:115" ht="12.75" customHeight="1" thickTop="1">
      <c r="B73" s="205"/>
      <c r="C73" s="224" t="s">
        <v>5</v>
      </c>
      <c r="D73" s="165"/>
      <c r="E73" s="165"/>
      <c r="F73" s="165"/>
      <c r="G73" s="165"/>
      <c r="H73" s="165"/>
      <c r="I73" s="165"/>
      <c r="J73" s="165"/>
      <c r="K73" s="165"/>
      <c r="L73" s="165"/>
      <c r="M73" s="203"/>
      <c r="N73" s="211"/>
      <c r="O73" s="156"/>
      <c r="P73" s="422">
        <v>1000001</v>
      </c>
      <c r="Q73" s="422">
        <v>1500000</v>
      </c>
      <c r="R73" s="422">
        <v>4500</v>
      </c>
      <c r="S73" s="184"/>
      <c r="T73" s="184"/>
      <c r="U73" s="184"/>
      <c r="V73" s="174"/>
      <c r="W73" s="174"/>
      <c r="X73" s="174"/>
      <c r="Y73" s="174"/>
      <c r="Z73" s="174"/>
      <c r="AA73" s="174"/>
      <c r="AB73" s="174"/>
      <c r="AC73" s="174"/>
      <c r="AD73" s="174"/>
      <c r="AE73" s="174"/>
      <c r="DE73" s="154"/>
      <c r="DF73" s="154"/>
      <c r="DG73" s="154"/>
      <c r="DH73" s="154"/>
      <c r="DI73" s="154"/>
      <c r="DJ73" s="154"/>
      <c r="DK73" s="154"/>
    </row>
    <row r="74" spans="2:115" ht="18.75" customHeight="1">
      <c r="B74" s="205"/>
      <c r="C74" s="223" t="s">
        <v>310</v>
      </c>
      <c r="D74" s="165"/>
      <c r="E74" s="165"/>
      <c r="F74" s="165"/>
      <c r="G74" s="165"/>
      <c r="H74" s="165"/>
      <c r="I74" s="165"/>
      <c r="J74" s="165"/>
      <c r="K74" s="165"/>
      <c r="L74" s="165"/>
      <c r="M74" s="203"/>
      <c r="N74" s="211"/>
      <c r="O74" s="156"/>
      <c r="P74" s="422">
        <v>1500001</v>
      </c>
      <c r="Q74" s="422">
        <v>2000000</v>
      </c>
      <c r="R74" s="422">
        <v>5750</v>
      </c>
      <c r="S74" s="184"/>
      <c r="T74" s="222" t="s">
        <v>15</v>
      </c>
      <c r="U74" s="221"/>
      <c r="V74" s="191"/>
      <c r="W74" s="174"/>
      <c r="X74" s="220" t="s">
        <v>267</v>
      </c>
      <c r="Y74" s="330">
        <f>IF($T$41=1,E47,G47)</f>
        <v>0</v>
      </c>
      <c r="Z74" s="174"/>
      <c r="AA74" s="174"/>
      <c r="AB74" s="174"/>
      <c r="AC74" s="174"/>
      <c r="AD74" s="174"/>
      <c r="AE74" s="174"/>
      <c r="DE74" s="154"/>
      <c r="DF74" s="154"/>
      <c r="DG74" s="154"/>
      <c r="DH74" s="154"/>
      <c r="DI74" s="154"/>
      <c r="DJ74" s="154"/>
      <c r="DK74" s="154"/>
    </row>
    <row r="75" spans="2:115" ht="12.75" customHeight="1">
      <c r="B75" s="205"/>
      <c r="C75" s="204" t="s">
        <v>125</v>
      </c>
      <c r="D75" s="165"/>
      <c r="E75" s="165"/>
      <c r="F75" s="165"/>
      <c r="G75" s="165"/>
      <c r="H75" s="165"/>
      <c r="I75" s="165"/>
      <c r="J75" s="165"/>
      <c r="K75" s="165"/>
      <c r="L75" s="165"/>
      <c r="M75" s="203"/>
      <c r="N75" s="211"/>
      <c r="O75" s="156"/>
      <c r="P75" s="422">
        <v>2000001</v>
      </c>
      <c r="Q75" s="422">
        <v>2500000</v>
      </c>
      <c r="R75" s="422">
        <v>7000</v>
      </c>
      <c r="S75" s="184"/>
      <c r="T75" s="219" t="s">
        <v>317</v>
      </c>
      <c r="U75" s="218">
        <v>0.000556</v>
      </c>
      <c r="V75" s="217">
        <v>0.000556</v>
      </c>
      <c r="W75" s="174"/>
      <c r="X75" s="216" t="s">
        <v>57</v>
      </c>
      <c r="Y75" s="495">
        <f>+AB63</f>
        <v>20.58</v>
      </c>
      <c r="Z75" s="174"/>
      <c r="AA75" s="174"/>
      <c r="AB75" s="174"/>
      <c r="AC75" s="174"/>
      <c r="AD75" s="174"/>
      <c r="AE75" s="174"/>
      <c r="DE75" s="154"/>
      <c r="DF75" s="154"/>
      <c r="DG75" s="154"/>
      <c r="DH75" s="154"/>
      <c r="DI75" s="154"/>
      <c r="DJ75" s="154"/>
      <c r="DK75" s="154"/>
    </row>
    <row r="76" spans="2:115" ht="12.75" customHeight="1">
      <c r="B76" s="205"/>
      <c r="C76" s="204" t="s">
        <v>311</v>
      </c>
      <c r="D76" s="165"/>
      <c r="E76" s="165"/>
      <c r="F76" s="165"/>
      <c r="G76" s="165"/>
      <c r="H76" s="165"/>
      <c r="I76" s="165"/>
      <c r="J76" s="165"/>
      <c r="K76" s="165"/>
      <c r="L76" s="165"/>
      <c r="M76" s="203"/>
      <c r="N76" s="211"/>
      <c r="O76" s="156"/>
      <c r="P76" s="422">
        <v>2500001</v>
      </c>
      <c r="Q76" s="422">
        <v>3000000</v>
      </c>
      <c r="R76" s="422">
        <v>8200</v>
      </c>
      <c r="S76" s="184"/>
      <c r="T76" s="219" t="s">
        <v>318</v>
      </c>
      <c r="U76" s="218">
        <v>0.0003016</v>
      </c>
      <c r="V76" s="217">
        <v>0.0003016</v>
      </c>
      <c r="W76" s="174"/>
      <c r="X76" s="216" t="s">
        <v>6</v>
      </c>
      <c r="Y76" s="327" t="str">
        <f>+Z63</f>
        <v>5 años</v>
      </c>
      <c r="Z76" s="174"/>
      <c r="AA76" s="174"/>
      <c r="AB76" s="174"/>
      <c r="AC76" s="174"/>
      <c r="AD76" s="174"/>
      <c r="AE76" s="174"/>
      <c r="DE76" s="154"/>
      <c r="DF76" s="154"/>
      <c r="DG76" s="154"/>
      <c r="DH76" s="154"/>
      <c r="DI76" s="154"/>
      <c r="DJ76" s="154"/>
      <c r="DK76" s="154"/>
    </row>
    <row r="77" spans="2:115" ht="12.75" customHeight="1">
      <c r="B77" s="205"/>
      <c r="C77" s="212" t="s">
        <v>312</v>
      </c>
      <c r="D77" s="165"/>
      <c r="E77" s="165"/>
      <c r="F77" s="165"/>
      <c r="G77" s="165"/>
      <c r="H77" s="165"/>
      <c r="I77" s="165"/>
      <c r="J77" s="165"/>
      <c r="K77" s="165"/>
      <c r="L77" s="165"/>
      <c r="M77" s="203"/>
      <c r="N77" s="211"/>
      <c r="O77" s="156"/>
      <c r="P77" s="422">
        <v>3000001</v>
      </c>
      <c r="Q77" s="422">
        <v>4000000</v>
      </c>
      <c r="R77" s="422">
        <v>11000</v>
      </c>
      <c r="S77" s="184"/>
      <c r="T77" s="184"/>
      <c r="U77" s="184"/>
      <c r="V77" s="174"/>
      <c r="W77" s="174"/>
      <c r="X77" s="215" t="s">
        <v>86</v>
      </c>
      <c r="Y77" s="331">
        <f>+AA63</f>
        <v>0.085</v>
      </c>
      <c r="Z77" s="174"/>
      <c r="AA77" s="174"/>
      <c r="AB77" s="214" t="s">
        <v>324</v>
      </c>
      <c r="AC77" s="191"/>
      <c r="AD77" s="213"/>
      <c r="AE77" s="174"/>
      <c r="DE77" s="154"/>
      <c r="DF77" s="154"/>
      <c r="DG77" s="154"/>
      <c r="DH77" s="154"/>
      <c r="DI77" s="154"/>
      <c r="DJ77" s="154"/>
      <c r="DK77" s="154"/>
    </row>
    <row r="78" spans="2:115" ht="12.75" customHeight="1">
      <c r="B78" s="205"/>
      <c r="C78" s="204" t="s">
        <v>313</v>
      </c>
      <c r="D78" s="165"/>
      <c r="E78" s="165"/>
      <c r="F78" s="165"/>
      <c r="G78" s="165"/>
      <c r="H78" s="165"/>
      <c r="I78" s="165"/>
      <c r="J78" s="165"/>
      <c r="K78" s="165"/>
      <c r="L78" s="165"/>
      <c r="M78" s="203"/>
      <c r="N78" s="211"/>
      <c r="O78" s="156"/>
      <c r="P78" s="422">
        <v>4000001</v>
      </c>
      <c r="Q78" s="422">
        <v>5000000</v>
      </c>
      <c r="R78" s="422">
        <v>13900</v>
      </c>
      <c r="S78" s="184"/>
      <c r="T78" s="184"/>
      <c r="U78" s="184"/>
      <c r="V78" s="174"/>
      <c r="W78" s="174"/>
      <c r="X78" s="215" t="s">
        <v>337</v>
      </c>
      <c r="Y78" s="332">
        <f>IF($T$41=1,E49,G49)</f>
        <v>0</v>
      </c>
      <c r="Z78" s="174"/>
      <c r="AA78" s="174"/>
      <c r="AB78" s="192" t="s">
        <v>417</v>
      </c>
      <c r="AC78" s="138"/>
      <c r="AD78" s="360">
        <v>96.22</v>
      </c>
      <c r="AE78" s="174"/>
      <c r="DE78" s="154"/>
      <c r="DF78" s="154"/>
      <c r="DG78" s="154"/>
      <c r="DH78" s="154"/>
      <c r="DI78" s="154"/>
      <c r="DJ78" s="154"/>
      <c r="DK78" s="154"/>
    </row>
    <row r="79" spans="2:31" ht="12.75" customHeight="1">
      <c r="B79" s="205"/>
      <c r="C79" s="204" t="s">
        <v>65</v>
      </c>
      <c r="D79" s="165"/>
      <c r="E79" s="165"/>
      <c r="F79" s="165"/>
      <c r="G79" s="165"/>
      <c r="H79" s="165"/>
      <c r="I79" s="165"/>
      <c r="J79" s="165"/>
      <c r="K79" s="165"/>
      <c r="L79" s="165"/>
      <c r="M79" s="203"/>
      <c r="N79" s="211"/>
      <c r="O79" s="165"/>
      <c r="P79" s="422">
        <v>5000001</v>
      </c>
      <c r="Q79" s="422">
        <v>6000000</v>
      </c>
      <c r="R79" s="422">
        <v>15500</v>
      </c>
      <c r="S79" s="184"/>
      <c r="T79" s="184"/>
      <c r="U79" s="184"/>
      <c r="V79" s="174"/>
      <c r="W79" s="174"/>
      <c r="X79" s="174"/>
      <c r="Y79" s="174"/>
      <c r="Z79" s="174"/>
      <c r="AA79" s="174"/>
      <c r="AB79" s="192" t="s">
        <v>325</v>
      </c>
      <c r="AC79" s="191"/>
      <c r="AD79" s="210">
        <v>25</v>
      </c>
      <c r="AE79" s="174"/>
    </row>
    <row r="80" spans="2:31" ht="12.75" customHeight="1">
      <c r="B80" s="205"/>
      <c r="C80" s="204" t="s">
        <v>66</v>
      </c>
      <c r="D80" s="165"/>
      <c r="E80" s="165"/>
      <c r="F80" s="165"/>
      <c r="G80" s="165"/>
      <c r="H80" s="165"/>
      <c r="I80" s="165"/>
      <c r="J80" s="165"/>
      <c r="K80" s="165"/>
      <c r="L80" s="165"/>
      <c r="M80" s="203"/>
      <c r="N80" s="202"/>
      <c r="O80" s="165"/>
      <c r="P80" s="422">
        <v>6000001</v>
      </c>
      <c r="Q80" s="422">
        <v>7000000</v>
      </c>
      <c r="R80" s="422">
        <v>19000</v>
      </c>
      <c r="S80" s="184"/>
      <c r="T80" s="184"/>
      <c r="U80" s="184"/>
      <c r="V80" s="174"/>
      <c r="W80" s="174"/>
      <c r="X80" s="333" t="s">
        <v>409</v>
      </c>
      <c r="Y80" s="404"/>
      <c r="Z80" s="174"/>
      <c r="AA80" s="174"/>
      <c r="AB80" s="192" t="s">
        <v>326</v>
      </c>
      <c r="AC80" s="191"/>
      <c r="AD80" s="192">
        <f>+AD78*AD79</f>
        <v>2405.5</v>
      </c>
      <c r="AE80" s="174"/>
    </row>
    <row r="81" spans="2:31" ht="12.75" customHeight="1">
      <c r="B81" s="205"/>
      <c r="C81" s="204">
        <f>IF(T41=1,"","-  Apartir del mes  número 61 y en caso de que el cliente no se reúna con el Banco para revisar y negociar la nueva Tasa de interés que rejirá el crédito, la Tasa de Interés aplicable será de")</f>
      </c>
      <c r="D81" s="165"/>
      <c r="E81" s="165"/>
      <c r="F81" s="165"/>
      <c r="G81" s="165"/>
      <c r="H81" s="165"/>
      <c r="I81" s="165"/>
      <c r="J81" s="165"/>
      <c r="K81" s="165"/>
      <c r="L81" s="165"/>
      <c r="M81" s="203"/>
      <c r="N81" s="202"/>
      <c r="O81" s="165"/>
      <c r="P81" s="422">
        <v>7000001</v>
      </c>
      <c r="Q81" s="422">
        <v>8000000</v>
      </c>
      <c r="R81" s="422">
        <v>20000</v>
      </c>
      <c r="S81" s="184"/>
      <c r="T81" s="194" t="s">
        <v>319</v>
      </c>
      <c r="U81" s="209">
        <v>250</v>
      </c>
      <c r="V81" s="175"/>
      <c r="W81" s="174"/>
      <c r="X81" s="405" t="s">
        <v>410</v>
      </c>
      <c r="Y81" s="406">
        <v>2</v>
      </c>
      <c r="Z81" s="174"/>
      <c r="AA81" s="174"/>
      <c r="AB81" s="192" t="s">
        <v>327</v>
      </c>
      <c r="AC81" s="191"/>
      <c r="AD81" s="192">
        <f>+AD80*0.05</f>
        <v>120.275</v>
      </c>
      <c r="AE81" s="208"/>
    </row>
    <row r="82" spans="2:31" ht="12.75" customHeight="1">
      <c r="B82" s="205"/>
      <c r="C82" s="204">
        <f>IF(T41=1,"","    T.I.I.E. más 4.5 puntos porcentuales, por lo que los valores que se muestran se ajustarán durante la vigencia del crédito en función de la Tasa de Interés variable señalada.")</f>
      </c>
      <c r="D82" s="165"/>
      <c r="E82" s="165"/>
      <c r="F82" s="165"/>
      <c r="G82" s="165"/>
      <c r="H82" s="165"/>
      <c r="I82" s="165"/>
      <c r="J82" s="165"/>
      <c r="K82" s="165"/>
      <c r="L82" s="165"/>
      <c r="M82" s="203"/>
      <c r="N82" s="202"/>
      <c r="P82" s="422">
        <v>8000001</v>
      </c>
      <c r="Q82" s="422">
        <v>9000000</v>
      </c>
      <c r="R82" s="422">
        <v>20100</v>
      </c>
      <c r="S82" s="184"/>
      <c r="T82" s="194" t="s">
        <v>320</v>
      </c>
      <c r="U82" s="201">
        <v>0.01</v>
      </c>
      <c r="V82" s="175"/>
      <c r="W82" s="174"/>
      <c r="X82" s="405" t="s">
        <v>4</v>
      </c>
      <c r="Y82" s="407"/>
      <c r="Z82" s="174"/>
      <c r="AA82" s="174"/>
      <c r="AB82" s="192"/>
      <c r="AC82" s="207">
        <v>0.05</v>
      </c>
      <c r="AD82" s="192"/>
      <c r="AE82" s="206"/>
    </row>
    <row r="83" spans="2:31" ht="12.75" customHeight="1">
      <c r="B83" s="205"/>
      <c r="C83" s="204"/>
      <c r="D83" s="165"/>
      <c r="E83" s="165"/>
      <c r="F83" s="165"/>
      <c r="G83" s="165"/>
      <c r="H83" s="165"/>
      <c r="I83" s="165"/>
      <c r="J83" s="165"/>
      <c r="K83" s="462" t="s">
        <v>442</v>
      </c>
      <c r="L83" s="165"/>
      <c r="M83" s="203"/>
      <c r="N83" s="202"/>
      <c r="P83" s="422">
        <v>9000001</v>
      </c>
      <c r="Q83" s="422">
        <v>10000000</v>
      </c>
      <c r="R83" s="422">
        <v>22500</v>
      </c>
      <c r="S83" s="184"/>
      <c r="T83" s="194" t="s">
        <v>321</v>
      </c>
      <c r="U83" s="201">
        <v>0.03</v>
      </c>
      <c r="V83" s="175"/>
      <c r="W83" s="174"/>
      <c r="X83" s="174"/>
      <c r="Y83" s="174"/>
      <c r="Z83" s="174"/>
      <c r="AA83" s="174"/>
      <c r="AB83" s="192" t="s">
        <v>328</v>
      </c>
      <c r="AC83" s="191"/>
      <c r="AD83" s="192">
        <v>60.8</v>
      </c>
      <c r="AE83" s="174"/>
    </row>
    <row r="84" spans="2:31" ht="12.75" customHeight="1" thickBot="1">
      <c r="B84" s="200"/>
      <c r="C84" s="199"/>
      <c r="D84" s="198"/>
      <c r="E84" s="198"/>
      <c r="F84" s="198"/>
      <c r="G84" s="198"/>
      <c r="H84" s="198"/>
      <c r="I84" s="198"/>
      <c r="J84" s="198"/>
      <c r="K84" s="197"/>
      <c r="L84" s="197"/>
      <c r="M84" s="196"/>
      <c r="N84" s="195"/>
      <c r="P84" s="422">
        <v>10000001</v>
      </c>
      <c r="Q84" s="422">
        <v>11000000</v>
      </c>
      <c r="R84" s="422">
        <v>27000</v>
      </c>
      <c r="S84" s="184"/>
      <c r="T84" s="194" t="s">
        <v>0</v>
      </c>
      <c r="U84" s="193">
        <v>0.001</v>
      </c>
      <c r="V84" s="175"/>
      <c r="W84" s="174"/>
      <c r="X84" s="174"/>
      <c r="Y84" s="174"/>
      <c r="Z84" s="174"/>
      <c r="AA84" s="174"/>
      <c r="AB84" s="192" t="s">
        <v>329</v>
      </c>
      <c r="AC84" s="191"/>
      <c r="AD84" s="190">
        <f>+AD81*AD83</f>
        <v>7312.72</v>
      </c>
      <c r="AE84" s="174"/>
    </row>
    <row r="85" spans="2:31" ht="10.5" customHeight="1" thickBot="1" thickTop="1">
      <c r="B85" s="189"/>
      <c r="C85" s="188"/>
      <c r="D85" s="188"/>
      <c r="E85" s="188"/>
      <c r="F85" s="188"/>
      <c r="G85" s="188"/>
      <c r="H85" s="188"/>
      <c r="I85" s="188"/>
      <c r="J85" s="188"/>
      <c r="K85" s="187"/>
      <c r="L85" s="187"/>
      <c r="M85" s="186"/>
      <c r="N85" s="185"/>
      <c r="O85" s="165"/>
      <c r="P85" s="422">
        <v>11000001</v>
      </c>
      <c r="Q85" s="422">
        <v>12000000</v>
      </c>
      <c r="R85" s="422">
        <v>28000</v>
      </c>
      <c r="S85" s="184"/>
      <c r="T85" s="183" t="s">
        <v>55</v>
      </c>
      <c r="U85" s="182">
        <v>0.01</v>
      </c>
      <c r="V85" s="181">
        <v>18000</v>
      </c>
      <c r="W85" s="174"/>
      <c r="X85" s="174"/>
      <c r="Y85" s="174"/>
      <c r="Z85" s="174"/>
      <c r="AA85" s="174"/>
      <c r="AB85" s="433" t="s">
        <v>416</v>
      </c>
      <c r="AC85" s="434"/>
      <c r="AD85" s="435">
        <v>0.03</v>
      </c>
      <c r="AE85" s="174"/>
    </row>
    <row r="86" spans="2:31" ht="9.75" customHeight="1" thickTop="1">
      <c r="B86" s="168"/>
      <c r="M86" s="165"/>
      <c r="O86" s="165"/>
      <c r="P86" s="422">
        <v>12000001</v>
      </c>
      <c r="Q86" s="422">
        <v>13000000</v>
      </c>
      <c r="R86" s="422">
        <v>30000</v>
      </c>
      <c r="S86" s="174"/>
      <c r="T86" s="180"/>
      <c r="U86" s="179"/>
      <c r="V86" s="178" t="s">
        <v>322</v>
      </c>
      <c r="W86" s="174"/>
      <c r="X86" s="174"/>
      <c r="Y86" s="174"/>
      <c r="Z86" s="174"/>
      <c r="AA86" s="174"/>
      <c r="AB86" s="174"/>
      <c r="AC86" s="174"/>
      <c r="AD86" s="174"/>
      <c r="AE86" s="174"/>
    </row>
    <row r="87" spans="2:31" ht="12.75">
      <c r="B87" s="168"/>
      <c r="C87" s="172"/>
      <c r="D87" s="172"/>
      <c r="E87" s="172"/>
      <c r="F87" s="172"/>
      <c r="G87" s="172"/>
      <c r="H87" s="172"/>
      <c r="I87" s="172"/>
      <c r="J87" s="172"/>
      <c r="K87" s="172"/>
      <c r="L87" s="172"/>
      <c r="M87" s="165"/>
      <c r="N87" s="165"/>
      <c r="O87" s="165"/>
      <c r="P87" s="422">
        <v>13000001</v>
      </c>
      <c r="Q87" s="422">
        <v>14000000</v>
      </c>
      <c r="R87" s="422">
        <v>32000</v>
      </c>
      <c r="S87" s="177"/>
      <c r="T87" s="177"/>
      <c r="U87" s="177"/>
      <c r="V87" s="176" t="s">
        <v>323</v>
      </c>
      <c r="W87" s="175"/>
      <c r="X87" s="174"/>
      <c r="Y87" s="174"/>
      <c r="Z87" s="174"/>
      <c r="AA87" s="174"/>
      <c r="AB87" s="174"/>
      <c r="AC87" s="174"/>
      <c r="AD87" s="174"/>
      <c r="AE87" s="174"/>
    </row>
    <row r="88" spans="2:23" ht="12.75">
      <c r="B88" s="168"/>
      <c r="C88" s="172"/>
      <c r="D88" s="172"/>
      <c r="E88" s="172"/>
      <c r="F88" s="172"/>
      <c r="G88" s="172"/>
      <c r="H88" s="172"/>
      <c r="I88" s="172"/>
      <c r="J88" s="172"/>
      <c r="K88" s="172"/>
      <c r="L88" s="172"/>
      <c r="N88" s="165"/>
      <c r="O88" s="165"/>
      <c r="P88" s="422">
        <v>14000001</v>
      </c>
      <c r="Q88" s="422">
        <v>15000000</v>
      </c>
      <c r="R88" s="422">
        <v>34000</v>
      </c>
      <c r="S88" s="144"/>
      <c r="T88" s="144"/>
      <c r="U88" s="144"/>
      <c r="V88" s="160"/>
      <c r="W88" s="160"/>
    </row>
    <row r="89" spans="2:23" ht="12.75">
      <c r="B89" s="168"/>
      <c r="C89" s="172"/>
      <c r="D89" s="172"/>
      <c r="E89" s="172"/>
      <c r="F89" s="172"/>
      <c r="G89" s="172"/>
      <c r="H89" s="172"/>
      <c r="I89" s="172"/>
      <c r="J89" s="172"/>
      <c r="K89" s="172"/>
      <c r="L89" s="172"/>
      <c r="N89" s="165"/>
      <c r="O89" s="165"/>
      <c r="P89" s="422">
        <v>15000001</v>
      </c>
      <c r="Q89" s="422">
        <v>20000000</v>
      </c>
      <c r="R89" s="422">
        <v>37000</v>
      </c>
      <c r="S89" s="144"/>
      <c r="T89" s="144"/>
      <c r="U89" s="144"/>
      <c r="V89" s="160"/>
      <c r="W89" s="160"/>
    </row>
    <row r="90" spans="2:23" ht="12.75">
      <c r="B90" s="168"/>
      <c r="C90" s="172"/>
      <c r="D90" s="172"/>
      <c r="E90" s="172"/>
      <c r="F90" s="172"/>
      <c r="G90" s="172"/>
      <c r="H90" s="172"/>
      <c r="I90" s="172"/>
      <c r="J90" s="172"/>
      <c r="K90" s="172"/>
      <c r="L90" s="172"/>
      <c r="N90" s="165"/>
      <c r="O90" s="165"/>
      <c r="P90" s="422">
        <v>20000001</v>
      </c>
      <c r="Q90" s="422">
        <v>25000000</v>
      </c>
      <c r="R90" s="422">
        <v>39000</v>
      </c>
      <c r="S90" s="144"/>
      <c r="T90" s="144"/>
      <c r="U90" s="144"/>
      <c r="V90" s="160"/>
      <c r="W90" s="160"/>
    </row>
    <row r="91" spans="2:23" ht="12.75">
      <c r="B91" s="168"/>
      <c r="C91" s="172"/>
      <c r="D91" s="172"/>
      <c r="E91" s="172"/>
      <c r="F91" s="172"/>
      <c r="G91" s="172"/>
      <c r="H91" s="172"/>
      <c r="I91" s="172"/>
      <c r="J91" s="172"/>
      <c r="K91" s="172"/>
      <c r="L91" s="172"/>
      <c r="M91" s="165"/>
      <c r="N91" s="165"/>
      <c r="O91" s="165"/>
      <c r="P91" s="422">
        <v>25000001</v>
      </c>
      <c r="Q91" s="422">
        <v>30000000</v>
      </c>
      <c r="R91" s="422">
        <v>40000</v>
      </c>
      <c r="S91" s="144"/>
      <c r="T91" s="144"/>
      <c r="U91" s="144"/>
      <c r="V91" s="160"/>
      <c r="W91" s="160"/>
    </row>
    <row r="92" spans="2:23" ht="12.75">
      <c r="B92" s="168"/>
      <c r="C92" s="172"/>
      <c r="D92" s="172"/>
      <c r="E92" s="172"/>
      <c r="F92" s="172"/>
      <c r="G92" s="172"/>
      <c r="H92" s="172"/>
      <c r="I92" s="172"/>
      <c r="J92" s="172"/>
      <c r="K92" s="172"/>
      <c r="L92" s="172"/>
      <c r="M92" s="165"/>
      <c r="N92" s="165"/>
      <c r="O92" s="165"/>
      <c r="P92" s="422">
        <v>30000001</v>
      </c>
      <c r="Q92" s="423">
        <v>30000000</v>
      </c>
      <c r="R92" s="423">
        <v>40000</v>
      </c>
      <c r="S92" s="144"/>
      <c r="T92" s="144"/>
      <c r="U92" s="144"/>
      <c r="V92" s="160"/>
      <c r="W92" s="160"/>
    </row>
    <row r="93" spans="2:29" ht="12.75">
      <c r="B93" s="168"/>
      <c r="C93" s="172"/>
      <c r="D93" s="172"/>
      <c r="E93" s="172"/>
      <c r="F93" s="172"/>
      <c r="G93" s="172"/>
      <c r="H93" s="172"/>
      <c r="I93" s="172"/>
      <c r="J93" s="172"/>
      <c r="K93" s="172"/>
      <c r="L93" s="172"/>
      <c r="M93" s="165"/>
      <c r="N93" s="165"/>
      <c r="O93" s="165"/>
      <c r="P93" s="173"/>
      <c r="Q93" s="173"/>
      <c r="R93" s="173"/>
      <c r="S93" s="144"/>
      <c r="T93" s="144"/>
      <c r="U93" s="144"/>
      <c r="V93" s="160"/>
      <c r="W93" s="160"/>
      <c r="X93" s="160"/>
      <c r="Y93" s="160"/>
      <c r="Z93" s="160"/>
      <c r="AA93" s="160"/>
      <c r="AB93" s="160"/>
      <c r="AC93" s="160"/>
    </row>
    <row r="94" spans="2:29" ht="11.25" customHeight="1">
      <c r="B94" s="168"/>
      <c r="C94" s="170"/>
      <c r="D94" s="170"/>
      <c r="E94" s="170"/>
      <c r="F94" s="170"/>
      <c r="G94" s="170"/>
      <c r="H94" s="170"/>
      <c r="I94" s="170"/>
      <c r="J94" s="170"/>
      <c r="K94" s="165"/>
      <c r="L94" s="165"/>
      <c r="M94" s="165"/>
      <c r="N94" s="165"/>
      <c r="O94" s="165"/>
      <c r="P94" s="173"/>
      <c r="Q94" s="173"/>
      <c r="R94" s="173"/>
      <c r="S94" s="144"/>
      <c r="T94" s="144"/>
      <c r="U94" s="144"/>
      <c r="V94" s="160"/>
      <c r="W94" s="160"/>
      <c r="X94" s="160"/>
      <c r="Y94" s="160"/>
      <c r="Z94" s="160"/>
      <c r="AA94" s="160"/>
      <c r="AB94" s="160"/>
      <c r="AC94" s="160"/>
    </row>
    <row r="95" spans="2:29" ht="11.25" customHeight="1">
      <c r="B95" s="168"/>
      <c r="C95" s="166"/>
      <c r="D95" s="164"/>
      <c r="E95" s="171"/>
      <c r="F95" s="170"/>
      <c r="G95" s="170"/>
      <c r="H95" s="170"/>
      <c r="I95" s="170"/>
      <c r="J95" s="170"/>
      <c r="K95" s="168"/>
      <c r="L95" s="168"/>
      <c r="M95" s="165"/>
      <c r="N95" s="165"/>
      <c r="O95" s="163"/>
      <c r="P95" s="173"/>
      <c r="Q95" s="173"/>
      <c r="R95" s="173"/>
      <c r="S95" s="144"/>
      <c r="T95" s="144"/>
      <c r="U95" s="144"/>
      <c r="V95" s="160"/>
      <c r="W95" s="160"/>
      <c r="X95" s="160"/>
      <c r="Y95" s="160"/>
      <c r="Z95" s="160"/>
      <c r="AA95" s="160"/>
      <c r="AB95" s="160"/>
      <c r="AC95" s="160"/>
    </row>
    <row r="96" spans="2:29" ht="11.25" customHeight="1">
      <c r="B96" s="168"/>
      <c r="C96" s="165"/>
      <c r="D96" s="170"/>
      <c r="E96" s="165"/>
      <c r="F96" s="170"/>
      <c r="G96" s="170"/>
      <c r="H96" s="170"/>
      <c r="I96" s="170"/>
      <c r="J96" s="170"/>
      <c r="K96" s="163"/>
      <c r="L96" s="163"/>
      <c r="M96" s="165"/>
      <c r="N96" s="165"/>
      <c r="O96" s="165"/>
      <c r="P96" s="173"/>
      <c r="Q96" s="173"/>
      <c r="R96" s="173"/>
      <c r="S96" s="144"/>
      <c r="T96" s="144"/>
      <c r="U96" s="144"/>
      <c r="V96" s="160"/>
      <c r="W96" s="160"/>
      <c r="X96" s="160"/>
      <c r="Y96" s="160"/>
      <c r="Z96" s="160"/>
      <c r="AA96" s="160"/>
      <c r="AB96" s="160"/>
      <c r="AC96" s="160"/>
    </row>
    <row r="97" spans="2:29" ht="11.25" customHeight="1">
      <c r="B97" s="168"/>
      <c r="C97" s="166"/>
      <c r="D97" s="164"/>
      <c r="F97" s="170"/>
      <c r="G97" s="170"/>
      <c r="H97" s="170"/>
      <c r="I97" s="170"/>
      <c r="J97" s="170"/>
      <c r="K97" s="154"/>
      <c r="L97" s="154"/>
      <c r="M97" s="165"/>
      <c r="N97" s="163"/>
      <c r="O97" s="154"/>
      <c r="P97" s="144"/>
      <c r="Q97" s="144"/>
      <c r="R97" s="144"/>
      <c r="S97" s="144"/>
      <c r="T97" s="144"/>
      <c r="U97" s="144"/>
      <c r="V97" s="160"/>
      <c r="W97" s="160"/>
      <c r="X97" s="160"/>
      <c r="Y97" s="160"/>
      <c r="Z97" s="160"/>
      <c r="AA97" s="160"/>
      <c r="AB97" s="160"/>
      <c r="AC97" s="160"/>
    </row>
    <row r="98" spans="2:29" ht="11.25" customHeight="1">
      <c r="B98" s="169"/>
      <c r="C98" s="164"/>
      <c r="D98" s="168"/>
      <c r="E98" s="164"/>
      <c r="F98" s="167"/>
      <c r="G98" s="167"/>
      <c r="H98" s="167"/>
      <c r="I98" s="167"/>
      <c r="J98" s="167"/>
      <c r="K98" s="163"/>
      <c r="L98" s="163"/>
      <c r="M98" s="165"/>
      <c r="N98" s="165"/>
      <c r="O98" s="164"/>
      <c r="P98" s="144"/>
      <c r="Q98" s="144"/>
      <c r="R98" s="144"/>
      <c r="S98" s="144"/>
      <c r="T98" s="144"/>
      <c r="U98" s="144"/>
      <c r="V98" s="160"/>
      <c r="W98" s="160"/>
      <c r="X98" s="160"/>
      <c r="Y98" s="160"/>
      <c r="Z98" s="160"/>
      <c r="AA98" s="160"/>
      <c r="AB98" s="160"/>
      <c r="AC98" s="160"/>
    </row>
    <row r="99" spans="2:29" ht="12.75" customHeight="1" hidden="1">
      <c r="B99" s="144"/>
      <c r="C99" s="166"/>
      <c r="D99" s="164"/>
      <c r="F99" s="167"/>
      <c r="G99" s="167"/>
      <c r="H99" s="167"/>
      <c r="I99" s="167"/>
      <c r="J99" s="167"/>
      <c r="K99" s="154"/>
      <c r="L99" s="154"/>
      <c r="M99" s="165"/>
      <c r="N99" s="154"/>
      <c r="O99" s="163"/>
      <c r="P99" s="144"/>
      <c r="Q99" s="144"/>
      <c r="R99" s="144"/>
      <c r="S99" s="144"/>
      <c r="T99" s="144"/>
      <c r="U99" s="144"/>
      <c r="V99" s="160"/>
      <c r="W99" s="160"/>
      <c r="X99" s="160"/>
      <c r="Y99" s="160"/>
      <c r="Z99" s="160"/>
      <c r="AA99" s="160"/>
      <c r="AB99" s="160"/>
      <c r="AC99" s="160"/>
    </row>
    <row r="100" spans="2:29" ht="4.5" customHeight="1">
      <c r="B100" s="144"/>
      <c r="C100" s="166"/>
      <c r="D100" s="164"/>
      <c r="F100" s="164"/>
      <c r="G100" s="164"/>
      <c r="H100" s="164"/>
      <c r="I100" s="164"/>
      <c r="J100" s="164"/>
      <c r="K100" s="154"/>
      <c r="L100" s="154"/>
      <c r="M100" s="165"/>
      <c r="N100" s="164"/>
      <c r="O100" s="154"/>
      <c r="P100" s="144"/>
      <c r="Q100" s="144"/>
      <c r="R100" s="144"/>
      <c r="S100" s="144"/>
      <c r="T100" s="144"/>
      <c r="U100" s="144"/>
      <c r="V100" s="160"/>
      <c r="W100" s="160"/>
      <c r="X100" s="160"/>
      <c r="Y100" s="160"/>
      <c r="Z100" s="160"/>
      <c r="AA100" s="160"/>
      <c r="AB100" s="160"/>
      <c r="AC100" s="160"/>
    </row>
    <row r="101" spans="2:29" ht="12.75" customHeight="1">
      <c r="B101" s="144"/>
      <c r="C101" s="144"/>
      <c r="D101" s="144"/>
      <c r="E101" s="144"/>
      <c r="F101" s="144"/>
      <c r="G101" s="144"/>
      <c r="H101" s="144"/>
      <c r="I101" s="144"/>
      <c r="J101" s="144"/>
      <c r="K101" s="144"/>
      <c r="L101" s="144"/>
      <c r="M101" s="163"/>
      <c r="N101" s="163"/>
      <c r="O101" s="144"/>
      <c r="P101" s="144"/>
      <c r="Q101" s="144"/>
      <c r="R101" s="144"/>
      <c r="S101" s="144"/>
      <c r="T101" s="144"/>
      <c r="U101" s="144"/>
      <c r="V101" s="160"/>
      <c r="W101" s="160"/>
      <c r="X101" s="160"/>
      <c r="Y101" s="160"/>
      <c r="Z101" s="160"/>
      <c r="AA101" s="160"/>
      <c r="AB101" s="160"/>
      <c r="AC101" s="160"/>
    </row>
    <row r="102" spans="2:29" ht="12.75" customHeight="1">
      <c r="B102" s="144"/>
      <c r="C102" s="144"/>
      <c r="D102" s="144"/>
      <c r="E102" s="144"/>
      <c r="F102" s="144"/>
      <c r="G102" s="144"/>
      <c r="H102" s="144"/>
      <c r="I102" s="144"/>
      <c r="J102" s="144"/>
      <c r="K102" s="144"/>
      <c r="L102" s="144"/>
      <c r="M102" s="165"/>
      <c r="N102" s="154"/>
      <c r="O102" s="144"/>
      <c r="P102" s="144"/>
      <c r="Q102" s="144"/>
      <c r="R102" s="144"/>
      <c r="S102" s="144"/>
      <c r="T102" s="144"/>
      <c r="U102" s="144"/>
      <c r="V102" s="160"/>
      <c r="W102" s="160"/>
      <c r="X102" s="160"/>
      <c r="Y102" s="160"/>
      <c r="Z102" s="160"/>
      <c r="AA102" s="160"/>
      <c r="AB102" s="160"/>
      <c r="AC102" s="160"/>
    </row>
    <row r="103" spans="2:29" ht="12.75" customHeight="1">
      <c r="B103" s="144"/>
      <c r="C103" s="144"/>
      <c r="D103" s="144"/>
      <c r="E103" s="144"/>
      <c r="F103" s="144"/>
      <c r="G103" s="144"/>
      <c r="H103" s="144"/>
      <c r="I103" s="144"/>
      <c r="J103" s="144"/>
      <c r="K103" s="144"/>
      <c r="L103" s="144"/>
      <c r="M103" s="154"/>
      <c r="N103" s="144"/>
      <c r="O103" s="144"/>
      <c r="P103" s="144"/>
      <c r="Q103" s="144"/>
      <c r="R103" s="144"/>
      <c r="S103" s="144"/>
      <c r="T103" s="144"/>
      <c r="U103" s="144"/>
      <c r="V103" s="160"/>
      <c r="W103" s="160"/>
      <c r="X103" s="160"/>
      <c r="Y103" s="160"/>
      <c r="Z103" s="160"/>
      <c r="AA103" s="160"/>
      <c r="AB103" s="160"/>
      <c r="AC103" s="160"/>
    </row>
    <row r="104" spans="2:29" ht="12.75" customHeight="1">
      <c r="B104" s="144"/>
      <c r="C104" s="144"/>
      <c r="D104" s="144"/>
      <c r="E104" s="144"/>
      <c r="F104" s="144"/>
      <c r="G104" s="144"/>
      <c r="H104" s="144"/>
      <c r="I104" s="144"/>
      <c r="J104" s="144"/>
      <c r="K104" s="144"/>
      <c r="L104" s="144"/>
      <c r="M104" s="164"/>
      <c r="N104" s="144"/>
      <c r="O104" s="144"/>
      <c r="P104" s="144"/>
      <c r="Q104" s="144"/>
      <c r="R104" s="144"/>
      <c r="S104" s="144"/>
      <c r="T104" s="144"/>
      <c r="U104" s="144"/>
      <c r="V104" s="160"/>
      <c r="W104" s="160"/>
      <c r="X104" s="160"/>
      <c r="Y104" s="160"/>
      <c r="Z104" s="160"/>
      <c r="AA104" s="160"/>
      <c r="AB104" s="160"/>
      <c r="AC104" s="160"/>
    </row>
    <row r="105" spans="2:29" ht="12.75" customHeight="1">
      <c r="B105" s="144"/>
      <c r="C105" s="144"/>
      <c r="D105" s="144"/>
      <c r="E105" s="144"/>
      <c r="F105" s="144"/>
      <c r="G105" s="144"/>
      <c r="H105" s="144"/>
      <c r="I105" s="144"/>
      <c r="J105" s="144"/>
      <c r="K105" s="144"/>
      <c r="L105" s="144"/>
      <c r="M105" s="163"/>
      <c r="N105" s="144"/>
      <c r="O105" s="144"/>
      <c r="P105" s="144"/>
      <c r="Q105" s="144"/>
      <c r="R105" s="144"/>
      <c r="S105" s="144"/>
      <c r="T105" s="144"/>
      <c r="U105" s="144"/>
      <c r="V105" s="160"/>
      <c r="W105" s="160"/>
      <c r="X105" s="160"/>
      <c r="Y105" s="160"/>
      <c r="Z105" s="160"/>
      <c r="AA105" s="160"/>
      <c r="AB105" s="160"/>
      <c r="AC105" s="160"/>
    </row>
    <row r="106" spans="2:29" ht="12.75" customHeight="1">
      <c r="B106" s="144"/>
      <c r="C106" s="144"/>
      <c r="D106" s="144"/>
      <c r="E106" s="144"/>
      <c r="F106" s="144"/>
      <c r="G106" s="144"/>
      <c r="H106" s="144"/>
      <c r="I106" s="144"/>
      <c r="J106" s="144"/>
      <c r="K106" s="144"/>
      <c r="L106" s="144"/>
      <c r="M106" s="154"/>
      <c r="N106" s="144"/>
      <c r="O106" s="144"/>
      <c r="P106" s="144"/>
      <c r="Q106" s="144"/>
      <c r="R106" s="144"/>
      <c r="S106" s="144"/>
      <c r="T106" s="144"/>
      <c r="U106" s="144"/>
      <c r="V106" s="160"/>
      <c r="W106" s="160"/>
      <c r="X106" s="160"/>
      <c r="Y106" s="160"/>
      <c r="Z106" s="160"/>
      <c r="AA106" s="160"/>
      <c r="AB106" s="160"/>
      <c r="AC106" s="160"/>
    </row>
    <row r="107" spans="2:29" ht="12.75" customHeight="1">
      <c r="B107" s="144"/>
      <c r="C107" s="144"/>
      <c r="D107" s="144"/>
      <c r="E107" s="144"/>
      <c r="F107" s="144"/>
      <c r="G107" s="144"/>
      <c r="H107" s="144"/>
      <c r="I107" s="144"/>
      <c r="J107" s="144"/>
      <c r="K107" s="144"/>
      <c r="L107" s="144"/>
      <c r="M107" s="144"/>
      <c r="N107" s="144"/>
      <c r="O107" s="144"/>
      <c r="P107" s="144"/>
      <c r="Q107" s="144"/>
      <c r="R107" s="144"/>
      <c r="S107" s="144"/>
      <c r="T107" s="144"/>
      <c r="U107" s="144"/>
      <c r="V107" s="160"/>
      <c r="W107" s="160"/>
      <c r="X107" s="160"/>
      <c r="Y107" s="160"/>
      <c r="Z107" s="160"/>
      <c r="AA107" s="160"/>
      <c r="AB107" s="160"/>
      <c r="AC107" s="160"/>
    </row>
    <row r="108" spans="2:29" ht="12.75" customHeight="1">
      <c r="B108" s="144"/>
      <c r="C108" s="144"/>
      <c r="D108" s="144"/>
      <c r="E108" s="144"/>
      <c r="F108" s="144"/>
      <c r="G108" s="144"/>
      <c r="H108" s="144"/>
      <c r="I108" s="144"/>
      <c r="J108" s="144"/>
      <c r="K108" s="144"/>
      <c r="L108" s="144"/>
      <c r="M108" s="144"/>
      <c r="N108" s="144"/>
      <c r="O108" s="144"/>
      <c r="P108" s="144"/>
      <c r="Q108" s="144"/>
      <c r="R108" s="144"/>
      <c r="S108" s="144"/>
      <c r="T108" s="144"/>
      <c r="U108" s="144"/>
      <c r="V108" s="160"/>
      <c r="W108" s="160"/>
      <c r="X108" s="160"/>
      <c r="Y108" s="160"/>
      <c r="Z108" s="160"/>
      <c r="AA108" s="160"/>
      <c r="AB108" s="160"/>
      <c r="AC108" s="160"/>
    </row>
    <row r="109" spans="2:29" ht="12.75" customHeight="1">
      <c r="B109" s="144"/>
      <c r="C109" s="144"/>
      <c r="D109" s="144"/>
      <c r="E109" s="144"/>
      <c r="F109" s="144"/>
      <c r="G109" s="144"/>
      <c r="H109" s="144"/>
      <c r="I109" s="144"/>
      <c r="J109" s="144"/>
      <c r="K109" s="144"/>
      <c r="L109" s="144"/>
      <c r="M109" s="144"/>
      <c r="N109" s="144"/>
      <c r="O109" s="144"/>
      <c r="P109" s="144"/>
      <c r="Q109" s="144"/>
      <c r="R109" s="144"/>
      <c r="S109" s="144"/>
      <c r="T109" s="144"/>
      <c r="U109" s="144"/>
      <c r="V109" s="160"/>
      <c r="W109" s="160"/>
      <c r="X109" s="160"/>
      <c r="Y109" s="160"/>
      <c r="Z109" s="160"/>
      <c r="AA109" s="160"/>
      <c r="AB109" s="160"/>
      <c r="AC109" s="160"/>
    </row>
    <row r="110" spans="2:29" ht="12.75" customHeight="1">
      <c r="B110" s="144"/>
      <c r="C110" s="144"/>
      <c r="D110" s="144"/>
      <c r="E110" s="144"/>
      <c r="F110" s="144"/>
      <c r="G110" s="144"/>
      <c r="H110" s="144"/>
      <c r="I110" s="144"/>
      <c r="J110" s="144"/>
      <c r="K110" s="144"/>
      <c r="L110" s="144"/>
      <c r="M110" s="144"/>
      <c r="N110" s="144"/>
      <c r="O110" s="144"/>
      <c r="P110" s="144"/>
      <c r="Q110" s="144"/>
      <c r="R110" s="144"/>
      <c r="S110" s="144"/>
      <c r="T110" s="144"/>
      <c r="U110" s="144"/>
      <c r="V110" s="160"/>
      <c r="W110" s="160"/>
      <c r="X110" s="160"/>
      <c r="Y110" s="160"/>
      <c r="Z110" s="160"/>
      <c r="AA110" s="160"/>
      <c r="AB110" s="160"/>
      <c r="AC110" s="160"/>
    </row>
    <row r="111" spans="2:29" ht="12.75" customHeight="1">
      <c r="B111" s="144"/>
      <c r="C111" s="144"/>
      <c r="D111" s="144"/>
      <c r="E111" s="144"/>
      <c r="F111" s="144"/>
      <c r="G111" s="144"/>
      <c r="H111" s="144"/>
      <c r="I111" s="144"/>
      <c r="J111" s="144"/>
      <c r="K111" s="144"/>
      <c r="L111" s="144"/>
      <c r="M111" s="144"/>
      <c r="N111" s="144"/>
      <c r="O111" s="144"/>
      <c r="P111" s="144"/>
      <c r="Q111" s="144"/>
      <c r="R111" s="144"/>
      <c r="S111" s="144"/>
      <c r="T111" s="144"/>
      <c r="U111" s="144"/>
      <c r="V111" s="160"/>
      <c r="W111" s="160"/>
      <c r="X111" s="160"/>
      <c r="Y111" s="160"/>
      <c r="Z111" s="160"/>
      <c r="AA111" s="160"/>
      <c r="AB111" s="160"/>
      <c r="AC111" s="160"/>
    </row>
    <row r="112" spans="2:29" ht="12.75" customHeight="1">
      <c r="B112" s="144"/>
      <c r="C112" s="144"/>
      <c r="D112" s="144"/>
      <c r="E112" s="144"/>
      <c r="F112" s="144"/>
      <c r="G112" s="144"/>
      <c r="H112" s="144"/>
      <c r="I112" s="144"/>
      <c r="J112" s="144"/>
      <c r="K112" s="144"/>
      <c r="L112" s="144"/>
      <c r="M112" s="144"/>
      <c r="N112" s="144"/>
      <c r="O112" s="144"/>
      <c r="P112" s="144"/>
      <c r="Q112" s="144"/>
      <c r="R112" s="144"/>
      <c r="S112" s="144"/>
      <c r="T112" s="144"/>
      <c r="U112" s="144"/>
      <c r="V112" s="160"/>
      <c r="W112" s="160"/>
      <c r="X112" s="160"/>
      <c r="Y112" s="160"/>
      <c r="Z112" s="160"/>
      <c r="AA112" s="160"/>
      <c r="AB112" s="160"/>
      <c r="AC112" s="160"/>
    </row>
    <row r="113" spans="2:29" ht="12.75" customHeight="1">
      <c r="B113" s="144"/>
      <c r="C113" s="144"/>
      <c r="D113" s="144"/>
      <c r="E113" s="144"/>
      <c r="F113" s="144"/>
      <c r="G113" s="144"/>
      <c r="H113" s="144"/>
      <c r="I113" s="144"/>
      <c r="J113" s="144"/>
      <c r="K113" s="144"/>
      <c r="L113" s="144"/>
      <c r="M113" s="144"/>
      <c r="N113" s="144"/>
      <c r="O113" s="144"/>
      <c r="P113" s="144"/>
      <c r="Q113" s="144"/>
      <c r="R113" s="144"/>
      <c r="S113" s="144"/>
      <c r="T113" s="144"/>
      <c r="U113" s="144"/>
      <c r="V113" s="160"/>
      <c r="W113" s="160"/>
      <c r="X113" s="160"/>
      <c r="Y113" s="160"/>
      <c r="Z113" s="160"/>
      <c r="AA113" s="160"/>
      <c r="AB113" s="160"/>
      <c r="AC113" s="160"/>
    </row>
    <row r="114" spans="2:29" ht="12.75" customHeight="1">
      <c r="B114" s="144"/>
      <c r="C114" s="144"/>
      <c r="D114" s="144"/>
      <c r="E114" s="144"/>
      <c r="F114" s="144"/>
      <c r="G114" s="144"/>
      <c r="H114" s="144"/>
      <c r="I114" s="144"/>
      <c r="J114" s="144"/>
      <c r="K114" s="144"/>
      <c r="L114" s="144"/>
      <c r="M114" s="144"/>
      <c r="N114" s="144"/>
      <c r="O114" s="144"/>
      <c r="P114" s="144"/>
      <c r="Q114" s="144"/>
      <c r="R114" s="144"/>
      <c r="S114" s="144"/>
      <c r="T114" s="144"/>
      <c r="U114" s="144"/>
      <c r="V114" s="160"/>
      <c r="W114" s="160"/>
      <c r="X114" s="160"/>
      <c r="Y114" s="160"/>
      <c r="Z114" s="160"/>
      <c r="AA114" s="160"/>
      <c r="AB114" s="160"/>
      <c r="AC114" s="160"/>
    </row>
    <row r="115" spans="2:29" ht="12.75" customHeight="1">
      <c r="B115" s="144"/>
      <c r="C115" s="144"/>
      <c r="D115" s="144"/>
      <c r="E115" s="144"/>
      <c r="F115" s="144"/>
      <c r="G115" s="144"/>
      <c r="H115" s="144"/>
      <c r="I115" s="144"/>
      <c r="J115" s="144"/>
      <c r="K115" s="144"/>
      <c r="L115" s="144"/>
      <c r="M115" s="144"/>
      <c r="N115" s="144"/>
      <c r="O115" s="144"/>
      <c r="P115" s="144"/>
      <c r="Q115" s="144"/>
      <c r="R115" s="144"/>
      <c r="S115" s="144"/>
      <c r="T115" s="144"/>
      <c r="U115" s="144"/>
      <c r="V115" s="160"/>
      <c r="W115" s="160"/>
      <c r="X115" s="160"/>
      <c r="Y115" s="160"/>
      <c r="Z115" s="160"/>
      <c r="AA115" s="160"/>
      <c r="AB115" s="160"/>
      <c r="AC115" s="160"/>
    </row>
    <row r="116" spans="2:29" ht="12.75" customHeight="1">
      <c r="B116" s="144"/>
      <c r="C116" s="144"/>
      <c r="D116" s="144"/>
      <c r="E116" s="144"/>
      <c r="F116" s="144"/>
      <c r="G116" s="144"/>
      <c r="H116" s="144"/>
      <c r="I116" s="144"/>
      <c r="J116" s="144"/>
      <c r="K116" s="144"/>
      <c r="L116" s="144"/>
      <c r="M116" s="144"/>
      <c r="N116" s="144"/>
      <c r="O116" s="144"/>
      <c r="P116" s="144"/>
      <c r="Q116" s="144"/>
      <c r="R116" s="144"/>
      <c r="S116" s="144"/>
      <c r="T116" s="144"/>
      <c r="U116" s="144"/>
      <c r="V116" s="160"/>
      <c r="W116" s="160"/>
      <c r="X116" s="160"/>
      <c r="Y116" s="160"/>
      <c r="Z116" s="160"/>
      <c r="AA116" s="160"/>
      <c r="AB116" s="160"/>
      <c r="AC116" s="160"/>
    </row>
    <row r="117" spans="2:115" s="161" customFormat="1" ht="12.75" customHeight="1">
      <c r="B117" s="144"/>
      <c r="C117" s="144"/>
      <c r="D117" s="144"/>
      <c r="E117" s="144"/>
      <c r="F117" s="144"/>
      <c r="G117" s="144"/>
      <c r="H117" s="144"/>
      <c r="I117" s="144"/>
      <c r="J117" s="144"/>
      <c r="K117" s="144"/>
      <c r="L117" s="144"/>
      <c r="M117" s="144"/>
      <c r="N117" s="144"/>
      <c r="O117" s="144"/>
      <c r="P117" s="144"/>
      <c r="Q117" s="144"/>
      <c r="R117" s="144"/>
      <c r="S117" s="144"/>
      <c r="T117" s="144"/>
      <c r="U117" s="144"/>
      <c r="V117" s="160"/>
      <c r="W117" s="160"/>
      <c r="X117" s="160"/>
      <c r="Y117" s="160"/>
      <c r="Z117" s="160"/>
      <c r="AA117" s="160"/>
      <c r="AB117" s="160"/>
      <c r="AC117" s="160"/>
      <c r="AD117" s="156"/>
      <c r="AE117" s="156"/>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c r="CH117" s="162"/>
      <c r="CI117" s="162"/>
      <c r="CJ117" s="162"/>
      <c r="CK117" s="162"/>
      <c r="CL117" s="162"/>
      <c r="CM117" s="162"/>
      <c r="CN117" s="162"/>
      <c r="CO117" s="162"/>
      <c r="CP117" s="162"/>
      <c r="CQ117" s="162"/>
      <c r="CR117" s="162"/>
      <c r="CS117" s="162"/>
      <c r="CT117" s="162"/>
      <c r="CU117" s="162"/>
      <c r="CV117" s="162"/>
      <c r="CW117" s="162"/>
      <c r="CX117" s="162"/>
      <c r="CY117" s="162"/>
      <c r="CZ117" s="162"/>
      <c r="DA117" s="162"/>
      <c r="DB117" s="162"/>
      <c r="DC117" s="162"/>
      <c r="DD117" s="162"/>
      <c r="DE117" s="162"/>
      <c r="DF117" s="162"/>
      <c r="DG117" s="162"/>
      <c r="DH117" s="162"/>
      <c r="DI117" s="162"/>
      <c r="DJ117" s="162"/>
      <c r="DK117" s="162"/>
    </row>
    <row r="118" spans="2:29" ht="12.75" customHeight="1">
      <c r="B118" s="144"/>
      <c r="C118" s="144"/>
      <c r="D118" s="144"/>
      <c r="E118" s="144"/>
      <c r="F118" s="144"/>
      <c r="G118" s="144"/>
      <c r="H118" s="144"/>
      <c r="I118" s="144"/>
      <c r="J118" s="144"/>
      <c r="K118" s="144"/>
      <c r="L118" s="144"/>
      <c r="M118" s="144"/>
      <c r="N118" s="144"/>
      <c r="O118" s="144"/>
      <c r="P118" s="144"/>
      <c r="Q118" s="144"/>
      <c r="R118" s="144"/>
      <c r="S118" s="144"/>
      <c r="T118" s="144"/>
      <c r="U118" s="144"/>
      <c r="V118" s="160"/>
      <c r="W118" s="160"/>
      <c r="X118" s="160"/>
      <c r="Y118" s="160"/>
      <c r="Z118" s="160"/>
      <c r="AA118" s="160"/>
      <c r="AB118" s="160"/>
      <c r="AC118" s="160"/>
    </row>
    <row r="119" spans="2:29" ht="12.75" customHeight="1">
      <c r="B119" s="144"/>
      <c r="C119" s="144"/>
      <c r="D119" s="144"/>
      <c r="E119" s="144"/>
      <c r="F119" s="144"/>
      <c r="G119" s="144"/>
      <c r="H119" s="144"/>
      <c r="I119" s="144"/>
      <c r="J119" s="144"/>
      <c r="K119" s="144"/>
      <c r="L119" s="144"/>
      <c r="M119" s="144"/>
      <c r="N119" s="144"/>
      <c r="O119" s="144"/>
      <c r="P119" s="144"/>
      <c r="Q119" s="144"/>
      <c r="R119" s="144"/>
      <c r="S119" s="144"/>
      <c r="T119" s="144"/>
      <c r="U119" s="144"/>
      <c r="V119" s="160"/>
      <c r="W119" s="160"/>
      <c r="X119" s="160"/>
      <c r="Y119" s="160"/>
      <c r="Z119" s="160"/>
      <c r="AA119" s="160"/>
      <c r="AB119" s="160"/>
      <c r="AC119" s="160"/>
    </row>
    <row r="120" spans="2:29" ht="12.75" customHeight="1">
      <c r="B120" s="144"/>
      <c r="C120" s="144"/>
      <c r="D120" s="144"/>
      <c r="E120" s="144"/>
      <c r="F120" s="144"/>
      <c r="G120" s="144"/>
      <c r="H120" s="144"/>
      <c r="I120" s="144"/>
      <c r="J120" s="144"/>
      <c r="K120" s="144"/>
      <c r="L120" s="144"/>
      <c r="M120" s="144"/>
      <c r="N120" s="144"/>
      <c r="O120" s="144"/>
      <c r="P120" s="144"/>
      <c r="Q120" s="144"/>
      <c r="R120" s="144"/>
      <c r="S120" s="144"/>
      <c r="T120" s="144"/>
      <c r="U120" s="144"/>
      <c r="V120" s="160"/>
      <c r="W120" s="160"/>
      <c r="X120" s="160"/>
      <c r="Y120" s="160"/>
      <c r="Z120" s="160"/>
      <c r="AA120" s="160"/>
      <c r="AB120" s="160"/>
      <c r="AC120" s="160"/>
    </row>
    <row r="121" spans="2:29" ht="12.75" customHeight="1">
      <c r="B121" s="144"/>
      <c r="C121" s="144"/>
      <c r="D121" s="144"/>
      <c r="E121" s="144"/>
      <c r="F121" s="144"/>
      <c r="G121" s="144"/>
      <c r="H121" s="144"/>
      <c r="I121" s="144"/>
      <c r="J121" s="144"/>
      <c r="K121" s="144"/>
      <c r="L121" s="144"/>
      <c r="M121" s="144"/>
      <c r="N121" s="144"/>
      <c r="O121" s="144"/>
      <c r="P121" s="144"/>
      <c r="Q121" s="144"/>
      <c r="R121" s="144"/>
      <c r="S121" s="144"/>
      <c r="T121" s="144"/>
      <c r="U121" s="144"/>
      <c r="V121" s="160"/>
      <c r="W121" s="160"/>
      <c r="X121" s="160"/>
      <c r="Y121" s="160"/>
      <c r="Z121" s="160"/>
      <c r="AA121" s="160"/>
      <c r="AB121" s="160"/>
      <c r="AC121" s="160"/>
    </row>
    <row r="122" spans="2:29" ht="12.75" customHeight="1">
      <c r="B122" s="144"/>
      <c r="C122" s="144"/>
      <c r="D122" s="144"/>
      <c r="E122" s="144"/>
      <c r="F122" s="144"/>
      <c r="G122" s="144"/>
      <c r="H122" s="144"/>
      <c r="I122" s="144"/>
      <c r="J122" s="144"/>
      <c r="K122" s="144"/>
      <c r="L122" s="144"/>
      <c r="M122" s="144"/>
      <c r="N122" s="144"/>
      <c r="O122" s="144"/>
      <c r="P122" s="144"/>
      <c r="Q122" s="144"/>
      <c r="R122" s="144"/>
      <c r="S122" s="144"/>
      <c r="T122" s="144"/>
      <c r="U122" s="144"/>
      <c r="V122" s="160"/>
      <c r="W122" s="160"/>
      <c r="X122" s="160"/>
      <c r="Y122" s="160"/>
      <c r="Z122" s="160"/>
      <c r="AA122" s="160"/>
      <c r="AB122" s="160"/>
      <c r="AC122" s="160"/>
    </row>
    <row r="123" spans="2:29" ht="12.75" customHeight="1">
      <c r="B123" s="144"/>
      <c r="C123" s="144"/>
      <c r="D123" s="144"/>
      <c r="E123" s="144"/>
      <c r="F123" s="144"/>
      <c r="G123" s="144"/>
      <c r="H123" s="144"/>
      <c r="I123" s="144"/>
      <c r="J123" s="144"/>
      <c r="K123" s="144"/>
      <c r="L123" s="144"/>
      <c r="M123" s="144"/>
      <c r="N123" s="144"/>
      <c r="O123" s="144"/>
      <c r="P123" s="144"/>
      <c r="Q123" s="144"/>
      <c r="R123" s="144"/>
      <c r="S123" s="144"/>
      <c r="T123" s="144"/>
      <c r="U123" s="144"/>
      <c r="V123" s="160"/>
      <c r="W123" s="160"/>
      <c r="X123" s="160"/>
      <c r="Y123" s="160"/>
      <c r="Z123" s="160"/>
      <c r="AA123" s="160"/>
      <c r="AB123" s="160"/>
      <c r="AC123" s="160"/>
    </row>
    <row r="124" spans="2:29" ht="12.75" customHeight="1">
      <c r="B124" s="144"/>
      <c r="C124" s="144"/>
      <c r="D124" s="144"/>
      <c r="E124" s="144"/>
      <c r="F124" s="144"/>
      <c r="G124" s="144"/>
      <c r="H124" s="144"/>
      <c r="I124" s="144"/>
      <c r="J124" s="144"/>
      <c r="K124" s="144"/>
      <c r="L124" s="144"/>
      <c r="M124" s="144"/>
      <c r="N124" s="144"/>
      <c r="O124" s="144"/>
      <c r="P124" s="144"/>
      <c r="Q124" s="144"/>
      <c r="R124" s="144"/>
      <c r="S124" s="144"/>
      <c r="T124" s="144"/>
      <c r="U124" s="144"/>
      <c r="V124" s="160"/>
      <c r="W124" s="160"/>
      <c r="X124" s="160"/>
      <c r="Y124" s="160"/>
      <c r="Z124" s="160"/>
      <c r="AA124" s="160"/>
      <c r="AB124" s="160"/>
      <c r="AC124" s="160"/>
    </row>
    <row r="125" spans="2:29" ht="12.75" customHeight="1">
      <c r="B125" s="144"/>
      <c r="C125" s="144"/>
      <c r="D125" s="144"/>
      <c r="E125" s="144"/>
      <c r="F125" s="144"/>
      <c r="G125" s="144"/>
      <c r="H125" s="144"/>
      <c r="I125" s="144"/>
      <c r="J125" s="144"/>
      <c r="K125" s="144"/>
      <c r="L125" s="144"/>
      <c r="M125" s="144"/>
      <c r="N125" s="144"/>
      <c r="O125" s="144"/>
      <c r="P125" s="144"/>
      <c r="Q125" s="144"/>
      <c r="R125" s="144"/>
      <c r="S125" s="144"/>
      <c r="T125" s="144"/>
      <c r="U125" s="144"/>
      <c r="V125" s="160"/>
      <c r="W125" s="160"/>
      <c r="X125" s="160"/>
      <c r="Y125" s="160"/>
      <c r="Z125" s="160"/>
      <c r="AA125" s="160"/>
      <c r="AB125" s="160"/>
      <c r="AC125" s="160"/>
    </row>
    <row r="126" spans="2:29" ht="12.75" customHeight="1">
      <c r="B126" s="144"/>
      <c r="C126" s="144"/>
      <c r="D126" s="144"/>
      <c r="E126" s="144"/>
      <c r="F126" s="144"/>
      <c r="G126" s="144"/>
      <c r="H126" s="144"/>
      <c r="I126" s="144"/>
      <c r="J126" s="144"/>
      <c r="K126" s="144"/>
      <c r="L126" s="144"/>
      <c r="M126" s="144"/>
      <c r="N126" s="144"/>
      <c r="O126" s="144"/>
      <c r="P126" s="144"/>
      <c r="Q126" s="144"/>
      <c r="R126" s="144"/>
      <c r="S126" s="144"/>
      <c r="T126" s="144"/>
      <c r="U126" s="144"/>
      <c r="V126" s="160"/>
      <c r="W126" s="160"/>
      <c r="X126" s="160"/>
      <c r="Y126" s="160"/>
      <c r="Z126" s="160"/>
      <c r="AA126" s="160"/>
      <c r="AB126" s="160"/>
      <c r="AC126" s="160"/>
    </row>
    <row r="127" spans="2:29" ht="12.75" customHeight="1">
      <c r="B127" s="144"/>
      <c r="C127" s="144"/>
      <c r="D127" s="144"/>
      <c r="E127" s="144"/>
      <c r="F127" s="144"/>
      <c r="G127" s="144"/>
      <c r="H127" s="144"/>
      <c r="I127" s="144"/>
      <c r="J127" s="144"/>
      <c r="K127" s="144"/>
      <c r="L127" s="144"/>
      <c r="M127" s="144"/>
      <c r="N127" s="144"/>
      <c r="O127" s="144"/>
      <c r="P127" s="144"/>
      <c r="Q127" s="144"/>
      <c r="R127" s="144"/>
      <c r="S127" s="144"/>
      <c r="T127" s="144"/>
      <c r="U127" s="144"/>
      <c r="V127" s="160"/>
      <c r="W127" s="160"/>
      <c r="X127" s="160"/>
      <c r="Y127" s="160"/>
      <c r="Z127" s="160"/>
      <c r="AA127" s="160"/>
      <c r="AB127" s="160"/>
      <c r="AC127" s="160"/>
    </row>
    <row r="128" spans="2:29" ht="12.75" customHeight="1">
      <c r="B128" s="144"/>
      <c r="C128" s="144"/>
      <c r="D128" s="144"/>
      <c r="E128" s="144"/>
      <c r="F128" s="144"/>
      <c r="G128" s="144"/>
      <c r="H128" s="144"/>
      <c r="I128" s="144"/>
      <c r="J128" s="144"/>
      <c r="K128" s="144"/>
      <c r="L128" s="144"/>
      <c r="M128" s="144"/>
      <c r="N128" s="144"/>
      <c r="O128" s="144"/>
      <c r="P128" s="144"/>
      <c r="Q128" s="144"/>
      <c r="R128" s="144"/>
      <c r="S128" s="144"/>
      <c r="T128" s="144"/>
      <c r="U128" s="144"/>
      <c r="V128" s="160"/>
      <c r="W128" s="160"/>
      <c r="X128" s="160"/>
      <c r="Y128" s="160"/>
      <c r="Z128" s="160"/>
      <c r="AA128" s="160"/>
      <c r="AB128" s="160"/>
      <c r="AC128" s="160"/>
    </row>
    <row r="129" spans="2:29" ht="12.75" customHeight="1">
      <c r="B129" s="144"/>
      <c r="C129" s="144"/>
      <c r="D129" s="144"/>
      <c r="E129" s="144"/>
      <c r="F129" s="144"/>
      <c r="G129" s="144"/>
      <c r="H129" s="144"/>
      <c r="I129" s="144"/>
      <c r="J129" s="144"/>
      <c r="K129" s="144"/>
      <c r="L129" s="144"/>
      <c r="M129" s="144"/>
      <c r="N129" s="144"/>
      <c r="O129" s="144"/>
      <c r="P129" s="144"/>
      <c r="Q129" s="144"/>
      <c r="R129" s="144"/>
      <c r="S129" s="144"/>
      <c r="T129" s="144"/>
      <c r="U129" s="144"/>
      <c r="V129" s="160"/>
      <c r="W129" s="160"/>
      <c r="X129" s="160"/>
      <c r="Y129" s="160"/>
      <c r="Z129" s="160"/>
      <c r="AA129" s="160"/>
      <c r="AB129" s="160"/>
      <c r="AC129" s="160"/>
    </row>
    <row r="130" spans="2:29" ht="12.75" customHeight="1">
      <c r="B130" s="144"/>
      <c r="C130" s="144"/>
      <c r="D130" s="144"/>
      <c r="E130" s="144"/>
      <c r="F130" s="144"/>
      <c r="G130" s="144"/>
      <c r="H130" s="144"/>
      <c r="I130" s="144"/>
      <c r="J130" s="144"/>
      <c r="K130" s="144"/>
      <c r="L130" s="144"/>
      <c r="M130" s="144"/>
      <c r="N130" s="144"/>
      <c r="O130" s="144"/>
      <c r="P130" s="144"/>
      <c r="Q130" s="144"/>
      <c r="R130" s="144"/>
      <c r="S130" s="144"/>
      <c r="T130" s="144"/>
      <c r="U130" s="144"/>
      <c r="V130" s="160"/>
      <c r="W130" s="160"/>
      <c r="X130" s="160"/>
      <c r="Y130" s="160"/>
      <c r="Z130" s="160"/>
      <c r="AA130" s="160"/>
      <c r="AB130" s="160"/>
      <c r="AC130" s="160"/>
    </row>
    <row r="131" spans="2:29" ht="12.75" customHeight="1">
      <c r="B131" s="144"/>
      <c r="C131" s="144"/>
      <c r="D131" s="144"/>
      <c r="E131" s="144"/>
      <c r="F131" s="144"/>
      <c r="G131" s="144"/>
      <c r="H131" s="144"/>
      <c r="I131" s="144"/>
      <c r="J131" s="144"/>
      <c r="K131" s="144"/>
      <c r="L131" s="144"/>
      <c r="M131" s="144"/>
      <c r="N131" s="144"/>
      <c r="O131" s="144"/>
      <c r="P131" s="144"/>
      <c r="Q131" s="144"/>
      <c r="R131" s="144"/>
      <c r="S131" s="144"/>
      <c r="T131" s="144"/>
      <c r="U131" s="144"/>
      <c r="V131" s="160"/>
      <c r="W131" s="160"/>
      <c r="X131" s="160"/>
      <c r="Y131" s="160"/>
      <c r="Z131" s="160"/>
      <c r="AA131" s="160"/>
      <c r="AB131" s="160"/>
      <c r="AC131" s="160"/>
    </row>
    <row r="132" spans="2:29" ht="12.75" customHeight="1">
      <c r="B132" s="144"/>
      <c r="C132" s="144"/>
      <c r="D132" s="144"/>
      <c r="E132" s="144"/>
      <c r="F132" s="144"/>
      <c r="G132" s="144"/>
      <c r="H132" s="144"/>
      <c r="I132" s="144"/>
      <c r="J132" s="144"/>
      <c r="K132" s="144"/>
      <c r="L132" s="144"/>
      <c r="M132" s="144"/>
      <c r="N132" s="144"/>
      <c r="O132" s="144"/>
      <c r="P132" s="144"/>
      <c r="Q132" s="144"/>
      <c r="R132" s="144"/>
      <c r="S132" s="144"/>
      <c r="T132" s="144"/>
      <c r="U132" s="144"/>
      <c r="V132" s="160"/>
      <c r="W132" s="160"/>
      <c r="X132" s="160"/>
      <c r="Y132" s="160"/>
      <c r="Z132" s="160"/>
      <c r="AA132" s="160"/>
      <c r="AB132" s="160"/>
      <c r="AC132" s="160"/>
    </row>
    <row r="133" spans="2:29" ht="12.75" customHeight="1">
      <c r="B133" s="144"/>
      <c r="C133" s="144"/>
      <c r="D133" s="144"/>
      <c r="E133" s="144"/>
      <c r="F133" s="144"/>
      <c r="G133" s="144"/>
      <c r="H133" s="144"/>
      <c r="I133" s="144"/>
      <c r="J133" s="144"/>
      <c r="K133" s="144"/>
      <c r="L133" s="144"/>
      <c r="M133" s="144"/>
      <c r="N133" s="144"/>
      <c r="O133" s="144"/>
      <c r="P133" s="144"/>
      <c r="Q133" s="144"/>
      <c r="R133" s="144"/>
      <c r="S133" s="144"/>
      <c r="T133" s="144"/>
      <c r="U133" s="144"/>
      <c r="V133" s="160"/>
      <c r="W133" s="160"/>
      <c r="X133" s="160"/>
      <c r="Y133" s="160"/>
      <c r="Z133" s="160"/>
      <c r="AA133" s="160"/>
      <c r="AB133" s="160"/>
      <c r="AC133" s="160"/>
    </row>
    <row r="134" spans="2:29" ht="12.75" customHeight="1">
      <c r="B134" s="144"/>
      <c r="C134" s="144"/>
      <c r="D134" s="144"/>
      <c r="E134" s="144"/>
      <c r="F134" s="144"/>
      <c r="G134" s="144"/>
      <c r="H134" s="144"/>
      <c r="I134" s="144"/>
      <c r="J134" s="144"/>
      <c r="K134" s="144"/>
      <c r="L134" s="144"/>
      <c r="M134" s="144"/>
      <c r="N134" s="144"/>
      <c r="O134" s="144"/>
      <c r="P134" s="144"/>
      <c r="Q134" s="144"/>
      <c r="R134" s="144"/>
      <c r="S134" s="144"/>
      <c r="T134" s="144"/>
      <c r="U134" s="144"/>
      <c r="V134" s="160"/>
      <c r="W134" s="160"/>
      <c r="X134" s="160"/>
      <c r="Y134" s="160"/>
      <c r="Z134" s="160"/>
      <c r="AA134" s="160"/>
      <c r="AB134" s="160"/>
      <c r="AC134" s="160"/>
    </row>
    <row r="135" spans="2:29" ht="12.75" customHeight="1">
      <c r="B135" s="144"/>
      <c r="C135" s="144"/>
      <c r="D135" s="144"/>
      <c r="E135" s="144"/>
      <c r="F135" s="144"/>
      <c r="G135" s="144"/>
      <c r="H135" s="144"/>
      <c r="I135" s="144"/>
      <c r="J135" s="144"/>
      <c r="K135" s="144"/>
      <c r="L135" s="144"/>
      <c r="M135" s="144"/>
      <c r="N135" s="144"/>
      <c r="O135" s="144"/>
      <c r="P135" s="144"/>
      <c r="Q135" s="144"/>
      <c r="R135" s="144"/>
      <c r="S135" s="144"/>
      <c r="T135" s="144"/>
      <c r="U135" s="144"/>
      <c r="V135" s="160"/>
      <c r="W135" s="160"/>
      <c r="X135" s="160"/>
      <c r="Y135" s="160"/>
      <c r="Z135" s="160"/>
      <c r="AA135" s="160"/>
      <c r="AB135" s="160"/>
      <c r="AC135" s="160"/>
    </row>
    <row r="136" spans="2:29" ht="12.75" customHeight="1">
      <c r="B136" s="144"/>
      <c r="C136" s="144"/>
      <c r="D136" s="144"/>
      <c r="E136" s="144"/>
      <c r="F136" s="144"/>
      <c r="G136" s="144"/>
      <c r="H136" s="144"/>
      <c r="I136" s="144"/>
      <c r="J136" s="144"/>
      <c r="K136" s="144"/>
      <c r="L136" s="144"/>
      <c r="M136" s="144"/>
      <c r="N136" s="144"/>
      <c r="O136" s="144"/>
      <c r="P136" s="144"/>
      <c r="Q136" s="144"/>
      <c r="R136" s="144"/>
      <c r="S136" s="144"/>
      <c r="T136" s="144"/>
      <c r="U136" s="144"/>
      <c r="V136" s="160"/>
      <c r="W136" s="160"/>
      <c r="X136" s="160"/>
      <c r="Y136" s="160"/>
      <c r="Z136" s="160"/>
      <c r="AA136" s="160"/>
      <c r="AB136" s="160"/>
      <c r="AC136" s="160"/>
    </row>
    <row r="137" spans="2:29" ht="12.75" customHeight="1">
      <c r="B137" s="144"/>
      <c r="C137" s="144"/>
      <c r="D137" s="144"/>
      <c r="E137" s="144"/>
      <c r="F137" s="144"/>
      <c r="G137" s="144"/>
      <c r="H137" s="144"/>
      <c r="I137" s="144"/>
      <c r="J137" s="144"/>
      <c r="K137" s="144"/>
      <c r="L137" s="144"/>
      <c r="M137" s="144"/>
      <c r="N137" s="144"/>
      <c r="O137" s="144"/>
      <c r="P137" s="144"/>
      <c r="Q137" s="144"/>
      <c r="R137" s="144"/>
      <c r="S137" s="144"/>
      <c r="T137" s="144"/>
      <c r="U137" s="144"/>
      <c r="V137" s="160"/>
      <c r="W137" s="160"/>
      <c r="X137" s="160"/>
      <c r="Y137" s="160"/>
      <c r="Z137" s="160"/>
      <c r="AA137" s="160"/>
      <c r="AB137" s="160"/>
      <c r="AC137" s="160"/>
    </row>
    <row r="138" spans="2:29" ht="12.75" customHeight="1">
      <c r="B138" s="144"/>
      <c r="C138" s="144"/>
      <c r="D138" s="144"/>
      <c r="E138" s="144"/>
      <c r="F138" s="144"/>
      <c r="G138" s="144"/>
      <c r="H138" s="144"/>
      <c r="I138" s="144"/>
      <c r="J138" s="144"/>
      <c r="K138" s="144"/>
      <c r="L138" s="144"/>
      <c r="M138" s="144"/>
      <c r="N138" s="144"/>
      <c r="O138" s="144"/>
      <c r="P138" s="144"/>
      <c r="Q138" s="144"/>
      <c r="R138" s="144"/>
      <c r="S138" s="144"/>
      <c r="T138" s="144"/>
      <c r="U138" s="144"/>
      <c r="V138" s="160"/>
      <c r="W138" s="160"/>
      <c r="X138" s="160"/>
      <c r="Y138" s="160"/>
      <c r="Z138" s="160"/>
      <c r="AA138" s="160"/>
      <c r="AB138" s="160"/>
      <c r="AC138" s="160"/>
    </row>
    <row r="139" spans="2:29" ht="12.75" customHeight="1">
      <c r="B139" s="144"/>
      <c r="C139" s="144"/>
      <c r="D139" s="144"/>
      <c r="E139" s="144"/>
      <c r="F139" s="144"/>
      <c r="G139" s="144"/>
      <c r="H139" s="144"/>
      <c r="I139" s="144"/>
      <c r="J139" s="144"/>
      <c r="K139" s="144"/>
      <c r="L139" s="144"/>
      <c r="M139" s="144"/>
      <c r="N139" s="144"/>
      <c r="O139" s="144"/>
      <c r="P139" s="144"/>
      <c r="Q139" s="144"/>
      <c r="R139" s="144"/>
      <c r="S139" s="144"/>
      <c r="T139" s="144"/>
      <c r="U139" s="144"/>
      <c r="V139" s="160"/>
      <c r="W139" s="160"/>
      <c r="X139" s="160"/>
      <c r="Y139" s="160"/>
      <c r="Z139" s="160"/>
      <c r="AA139" s="160"/>
      <c r="AB139" s="160"/>
      <c r="AC139" s="160"/>
    </row>
    <row r="140" spans="2:29" ht="12.75" customHeight="1">
      <c r="B140" s="144"/>
      <c r="C140" s="144"/>
      <c r="D140" s="144"/>
      <c r="E140" s="144"/>
      <c r="F140" s="144"/>
      <c r="G140" s="144"/>
      <c r="H140" s="144"/>
      <c r="I140" s="144"/>
      <c r="J140" s="144"/>
      <c r="K140" s="144"/>
      <c r="L140" s="144"/>
      <c r="M140" s="144"/>
      <c r="N140" s="144"/>
      <c r="O140" s="144"/>
      <c r="P140" s="144"/>
      <c r="Q140" s="144"/>
      <c r="R140" s="144"/>
      <c r="S140" s="144"/>
      <c r="T140" s="144"/>
      <c r="U140" s="144"/>
      <c r="V140" s="160"/>
      <c r="W140" s="160"/>
      <c r="X140" s="160"/>
      <c r="Y140" s="160"/>
      <c r="Z140" s="160"/>
      <c r="AA140" s="160"/>
      <c r="AB140" s="160"/>
      <c r="AC140" s="160"/>
    </row>
    <row r="141" spans="2:29" ht="12.75" customHeight="1">
      <c r="B141" s="144"/>
      <c r="C141" s="144"/>
      <c r="D141" s="144"/>
      <c r="E141" s="144"/>
      <c r="F141" s="144"/>
      <c r="G141" s="144"/>
      <c r="H141" s="144"/>
      <c r="I141" s="144"/>
      <c r="J141" s="144"/>
      <c r="K141" s="144"/>
      <c r="L141" s="144"/>
      <c r="M141" s="144"/>
      <c r="N141" s="144"/>
      <c r="O141" s="144"/>
      <c r="P141" s="144"/>
      <c r="Q141" s="144"/>
      <c r="R141" s="144"/>
      <c r="S141" s="144"/>
      <c r="T141" s="144"/>
      <c r="U141" s="144"/>
      <c r="V141" s="160"/>
      <c r="W141" s="160"/>
      <c r="X141" s="160"/>
      <c r="Y141" s="160"/>
      <c r="Z141" s="160"/>
      <c r="AA141" s="160"/>
      <c r="AB141" s="160"/>
      <c r="AC141" s="160"/>
    </row>
    <row r="142" spans="2:29" ht="12.75" customHeight="1">
      <c r="B142" s="144"/>
      <c r="C142" s="144"/>
      <c r="D142" s="144"/>
      <c r="E142" s="144"/>
      <c r="F142" s="144"/>
      <c r="G142" s="144"/>
      <c r="H142" s="144"/>
      <c r="I142" s="144"/>
      <c r="J142" s="144"/>
      <c r="K142" s="144"/>
      <c r="L142" s="144"/>
      <c r="M142" s="144"/>
      <c r="N142" s="144"/>
      <c r="O142" s="144"/>
      <c r="P142" s="144"/>
      <c r="Q142" s="144"/>
      <c r="R142" s="144"/>
      <c r="S142" s="144"/>
      <c r="T142" s="144"/>
      <c r="U142" s="144"/>
      <c r="V142" s="160"/>
      <c r="W142" s="160"/>
      <c r="X142" s="160"/>
      <c r="Y142" s="160"/>
      <c r="Z142" s="160"/>
      <c r="AA142" s="160"/>
      <c r="AB142" s="160"/>
      <c r="AC142" s="160"/>
    </row>
    <row r="143" spans="2:29" ht="12.75" customHeight="1">
      <c r="B143" s="144"/>
      <c r="C143" s="144"/>
      <c r="D143" s="144"/>
      <c r="E143" s="144"/>
      <c r="F143" s="144"/>
      <c r="G143" s="144"/>
      <c r="H143" s="144"/>
      <c r="I143" s="144"/>
      <c r="J143" s="144"/>
      <c r="K143" s="144"/>
      <c r="L143" s="144"/>
      <c r="M143" s="144"/>
      <c r="N143" s="144"/>
      <c r="O143" s="144"/>
      <c r="P143" s="144"/>
      <c r="Q143" s="144"/>
      <c r="R143" s="144"/>
      <c r="S143" s="144"/>
      <c r="T143" s="144"/>
      <c r="U143" s="144"/>
      <c r="V143" s="160"/>
      <c r="W143" s="160"/>
      <c r="X143" s="160"/>
      <c r="Y143" s="160"/>
      <c r="Z143" s="160"/>
      <c r="AA143" s="160"/>
      <c r="AB143" s="160"/>
      <c r="AC143" s="160"/>
    </row>
    <row r="144" spans="2:29" ht="12.75" customHeight="1">
      <c r="B144" s="144"/>
      <c r="C144" s="144"/>
      <c r="D144" s="144"/>
      <c r="E144" s="144"/>
      <c r="F144" s="144"/>
      <c r="G144" s="144"/>
      <c r="H144" s="144"/>
      <c r="I144" s="144"/>
      <c r="J144" s="144"/>
      <c r="K144" s="144"/>
      <c r="L144" s="144"/>
      <c r="M144" s="144"/>
      <c r="N144" s="144"/>
      <c r="O144" s="144"/>
      <c r="P144" s="144"/>
      <c r="Q144" s="144"/>
      <c r="R144" s="144"/>
      <c r="S144" s="144"/>
      <c r="T144" s="144"/>
      <c r="U144" s="144"/>
      <c r="V144" s="160"/>
      <c r="W144" s="160"/>
      <c r="X144" s="160"/>
      <c r="Y144" s="160"/>
      <c r="Z144" s="160"/>
      <c r="AA144" s="160"/>
      <c r="AB144" s="160"/>
      <c r="AC144" s="160"/>
    </row>
    <row r="145" spans="2:29" ht="12.75" customHeight="1">
      <c r="B145" s="144"/>
      <c r="C145" s="144"/>
      <c r="D145" s="144"/>
      <c r="E145" s="144"/>
      <c r="F145" s="144"/>
      <c r="G145" s="144"/>
      <c r="H145" s="144"/>
      <c r="I145" s="144"/>
      <c r="J145" s="144"/>
      <c r="K145" s="144"/>
      <c r="L145" s="144"/>
      <c r="M145" s="144"/>
      <c r="N145" s="144"/>
      <c r="O145" s="144"/>
      <c r="P145" s="144"/>
      <c r="Q145" s="144"/>
      <c r="R145" s="144"/>
      <c r="S145" s="144"/>
      <c r="T145" s="144"/>
      <c r="U145" s="144"/>
      <c r="V145" s="160"/>
      <c r="W145" s="160"/>
      <c r="X145" s="160"/>
      <c r="Y145" s="160"/>
      <c r="Z145" s="160"/>
      <c r="AA145" s="160"/>
      <c r="AB145" s="160"/>
      <c r="AC145" s="160"/>
    </row>
    <row r="146" spans="2:29" ht="12.75" customHeight="1">
      <c r="B146" s="144"/>
      <c r="C146" s="144"/>
      <c r="D146" s="144"/>
      <c r="E146" s="144"/>
      <c r="F146" s="144"/>
      <c r="G146" s="144"/>
      <c r="H146" s="144"/>
      <c r="I146" s="144"/>
      <c r="J146" s="144"/>
      <c r="K146" s="144"/>
      <c r="L146" s="144"/>
      <c r="M146" s="144"/>
      <c r="N146" s="144"/>
      <c r="O146" s="144"/>
      <c r="P146" s="144"/>
      <c r="Q146" s="144"/>
      <c r="R146" s="144"/>
      <c r="S146" s="144"/>
      <c r="T146" s="144"/>
      <c r="U146" s="144"/>
      <c r="V146" s="160"/>
      <c r="W146" s="160"/>
      <c r="X146" s="160"/>
      <c r="Y146" s="160"/>
      <c r="Z146" s="160"/>
      <c r="AA146" s="160"/>
      <c r="AB146" s="160"/>
      <c r="AC146" s="160"/>
    </row>
    <row r="147" spans="2:29" ht="12.75" customHeight="1">
      <c r="B147" s="144"/>
      <c r="C147" s="144"/>
      <c r="D147" s="144"/>
      <c r="E147" s="144"/>
      <c r="F147" s="144"/>
      <c r="G147" s="144"/>
      <c r="H147" s="144"/>
      <c r="I147" s="144"/>
      <c r="J147" s="144"/>
      <c r="K147" s="144"/>
      <c r="L147" s="144"/>
      <c r="M147" s="144"/>
      <c r="N147" s="144"/>
      <c r="O147" s="144"/>
      <c r="P147" s="144"/>
      <c r="Q147" s="144"/>
      <c r="R147" s="144"/>
      <c r="S147" s="144"/>
      <c r="T147" s="144"/>
      <c r="U147" s="144"/>
      <c r="V147" s="160"/>
      <c r="W147" s="160"/>
      <c r="X147" s="160"/>
      <c r="Y147" s="160"/>
      <c r="Z147" s="160"/>
      <c r="AA147" s="160"/>
      <c r="AB147" s="160"/>
      <c r="AC147" s="160"/>
    </row>
    <row r="148" spans="2:29" ht="12.75" customHeight="1">
      <c r="B148" s="144"/>
      <c r="C148" s="144"/>
      <c r="D148" s="144"/>
      <c r="E148" s="144"/>
      <c r="F148" s="144"/>
      <c r="G148" s="144"/>
      <c r="H148" s="144"/>
      <c r="I148" s="144"/>
      <c r="J148" s="144"/>
      <c r="K148" s="144"/>
      <c r="L148" s="144"/>
      <c r="M148" s="144"/>
      <c r="N148" s="144"/>
      <c r="O148" s="144"/>
      <c r="P148" s="144"/>
      <c r="Q148" s="144"/>
      <c r="R148" s="144"/>
      <c r="S148" s="144"/>
      <c r="T148" s="144"/>
      <c r="U148" s="144"/>
      <c r="V148" s="160"/>
      <c r="W148" s="160"/>
      <c r="X148" s="160"/>
      <c r="Y148" s="160"/>
      <c r="Z148" s="160"/>
      <c r="AA148" s="160"/>
      <c r="AB148" s="160"/>
      <c r="AC148" s="160"/>
    </row>
    <row r="149" spans="2:29" ht="12.75" customHeight="1">
      <c r="B149" s="144"/>
      <c r="C149" s="144"/>
      <c r="D149" s="144"/>
      <c r="E149" s="144"/>
      <c r="F149" s="144"/>
      <c r="G149" s="144"/>
      <c r="H149" s="144"/>
      <c r="I149" s="144"/>
      <c r="J149" s="144"/>
      <c r="K149" s="144"/>
      <c r="L149" s="144"/>
      <c r="M149" s="144"/>
      <c r="N149" s="144"/>
      <c r="O149" s="144"/>
      <c r="P149" s="144"/>
      <c r="Q149" s="144"/>
      <c r="R149" s="144"/>
      <c r="S149" s="144"/>
      <c r="T149" s="144"/>
      <c r="U149" s="144"/>
      <c r="V149" s="160"/>
      <c r="W149" s="160"/>
      <c r="X149" s="160"/>
      <c r="Y149" s="160"/>
      <c r="Z149" s="160"/>
      <c r="AA149" s="160"/>
      <c r="AB149" s="160"/>
      <c r="AC149" s="160"/>
    </row>
    <row r="150" spans="2:29" ht="12.75" customHeight="1">
      <c r="B150" s="144"/>
      <c r="C150" s="144"/>
      <c r="D150" s="144"/>
      <c r="E150" s="144"/>
      <c r="F150" s="144"/>
      <c r="G150" s="144"/>
      <c r="H150" s="144"/>
      <c r="I150" s="144"/>
      <c r="J150" s="144"/>
      <c r="K150" s="144"/>
      <c r="L150" s="144"/>
      <c r="M150" s="144"/>
      <c r="N150" s="144"/>
      <c r="O150" s="144"/>
      <c r="P150" s="144"/>
      <c r="Q150" s="144"/>
      <c r="R150" s="144"/>
      <c r="S150" s="144"/>
      <c r="T150" s="144"/>
      <c r="U150" s="144"/>
      <c r="V150" s="160"/>
      <c r="W150" s="160"/>
      <c r="X150" s="160"/>
      <c r="Y150" s="160"/>
      <c r="Z150" s="160"/>
      <c r="AA150" s="160"/>
      <c r="AB150" s="160"/>
      <c r="AC150" s="160"/>
    </row>
    <row r="151" spans="2:29" ht="12.75" customHeight="1">
      <c r="B151" s="144"/>
      <c r="C151" s="144"/>
      <c r="D151" s="144"/>
      <c r="E151" s="144"/>
      <c r="F151" s="144"/>
      <c r="G151" s="144"/>
      <c r="H151" s="144"/>
      <c r="I151" s="144"/>
      <c r="J151" s="144"/>
      <c r="K151" s="144"/>
      <c r="L151" s="144"/>
      <c r="M151" s="144"/>
      <c r="N151" s="144"/>
      <c r="O151" s="144"/>
      <c r="P151" s="144"/>
      <c r="Q151" s="144"/>
      <c r="R151" s="144"/>
      <c r="S151" s="144"/>
      <c r="T151" s="144"/>
      <c r="U151" s="144"/>
      <c r="V151" s="160"/>
      <c r="W151" s="160"/>
      <c r="X151" s="160"/>
      <c r="Y151" s="160"/>
      <c r="Z151" s="160"/>
      <c r="AA151" s="160"/>
      <c r="AB151" s="160"/>
      <c r="AC151" s="160"/>
    </row>
    <row r="152" spans="2:29" ht="12.75" customHeight="1">
      <c r="B152" s="144"/>
      <c r="C152" s="144"/>
      <c r="D152" s="144"/>
      <c r="E152" s="144"/>
      <c r="F152" s="144"/>
      <c r="G152" s="144"/>
      <c r="H152" s="144"/>
      <c r="I152" s="144"/>
      <c r="J152" s="144"/>
      <c r="K152" s="144"/>
      <c r="L152" s="144"/>
      <c r="M152" s="144"/>
      <c r="N152" s="144"/>
      <c r="O152" s="144"/>
      <c r="P152" s="144"/>
      <c r="Q152" s="144"/>
      <c r="R152" s="144"/>
      <c r="S152" s="144"/>
      <c r="T152" s="144"/>
      <c r="U152" s="144"/>
      <c r="V152" s="160"/>
      <c r="W152" s="160"/>
      <c r="X152" s="160"/>
      <c r="Y152" s="160"/>
      <c r="Z152" s="160"/>
      <c r="AA152" s="160"/>
      <c r="AB152" s="160"/>
      <c r="AC152" s="160"/>
    </row>
    <row r="153" spans="2:29" ht="12.75" customHeight="1">
      <c r="B153" s="144"/>
      <c r="C153" s="144"/>
      <c r="D153" s="144"/>
      <c r="E153" s="144"/>
      <c r="F153" s="144"/>
      <c r="G153" s="144"/>
      <c r="H153" s="144"/>
      <c r="I153" s="144"/>
      <c r="J153" s="144"/>
      <c r="K153" s="144"/>
      <c r="L153" s="144"/>
      <c r="M153" s="144"/>
      <c r="N153" s="144"/>
      <c r="O153" s="144"/>
      <c r="P153" s="144"/>
      <c r="Q153" s="144"/>
      <c r="R153" s="144"/>
      <c r="S153" s="144"/>
      <c r="T153" s="144"/>
      <c r="U153" s="144"/>
      <c r="V153" s="160"/>
      <c r="W153" s="160"/>
      <c r="X153" s="160"/>
      <c r="Y153" s="160"/>
      <c r="Z153" s="160"/>
      <c r="AA153" s="160"/>
      <c r="AB153" s="160"/>
      <c r="AC153" s="160"/>
    </row>
    <row r="154" spans="2:29" ht="12.75" customHeight="1">
      <c r="B154" s="144"/>
      <c r="C154" s="144"/>
      <c r="D154" s="144"/>
      <c r="E154" s="144"/>
      <c r="F154" s="144"/>
      <c r="G154" s="144"/>
      <c r="H154" s="144"/>
      <c r="I154" s="144"/>
      <c r="J154" s="144"/>
      <c r="K154" s="144"/>
      <c r="L154" s="144"/>
      <c r="M154" s="144"/>
      <c r="N154" s="144"/>
      <c r="O154" s="144"/>
      <c r="P154" s="144"/>
      <c r="Q154" s="144"/>
      <c r="R154" s="144"/>
      <c r="S154" s="144"/>
      <c r="T154" s="144"/>
      <c r="U154" s="144"/>
      <c r="V154" s="160"/>
      <c r="W154" s="160"/>
      <c r="X154" s="160"/>
      <c r="Y154" s="160"/>
      <c r="Z154" s="160"/>
      <c r="AA154" s="160"/>
      <c r="AB154" s="160"/>
      <c r="AC154" s="160"/>
    </row>
    <row r="155" spans="2:29" ht="12.75" customHeight="1">
      <c r="B155" s="144"/>
      <c r="C155" s="144"/>
      <c r="D155" s="144"/>
      <c r="E155" s="144"/>
      <c r="F155" s="144"/>
      <c r="G155" s="144"/>
      <c r="H155" s="144"/>
      <c r="I155" s="144"/>
      <c r="J155" s="144"/>
      <c r="K155" s="144"/>
      <c r="L155" s="144"/>
      <c r="M155" s="144"/>
      <c r="N155" s="144"/>
      <c r="O155" s="144"/>
      <c r="P155" s="144"/>
      <c r="Q155" s="144"/>
      <c r="R155" s="144"/>
      <c r="S155" s="144"/>
      <c r="T155" s="144"/>
      <c r="U155" s="144"/>
      <c r="V155" s="160"/>
      <c r="W155" s="160"/>
      <c r="X155" s="160"/>
      <c r="Y155" s="160"/>
      <c r="Z155" s="160"/>
      <c r="AA155" s="160"/>
      <c r="AB155" s="160"/>
      <c r="AC155" s="160"/>
    </row>
    <row r="156" spans="2:29" ht="12.75" customHeight="1">
      <c r="B156" s="144"/>
      <c r="C156" s="144"/>
      <c r="D156" s="144"/>
      <c r="E156" s="144"/>
      <c r="F156" s="144"/>
      <c r="G156" s="144"/>
      <c r="H156" s="144"/>
      <c r="I156" s="144"/>
      <c r="J156" s="144"/>
      <c r="K156" s="144"/>
      <c r="L156" s="144"/>
      <c r="M156" s="144"/>
      <c r="N156" s="144"/>
      <c r="O156" s="144"/>
      <c r="P156" s="144"/>
      <c r="Q156" s="144"/>
      <c r="R156" s="144"/>
      <c r="S156" s="144"/>
      <c r="T156" s="144"/>
      <c r="U156" s="144"/>
      <c r="V156" s="160"/>
      <c r="W156" s="160"/>
      <c r="X156" s="160"/>
      <c r="Y156" s="160"/>
      <c r="Z156" s="160"/>
      <c r="AA156" s="160"/>
      <c r="AB156" s="160"/>
      <c r="AC156" s="160"/>
    </row>
    <row r="157" spans="2:29" ht="12.75" customHeight="1">
      <c r="B157" s="144"/>
      <c r="C157" s="144"/>
      <c r="D157" s="144"/>
      <c r="E157" s="144"/>
      <c r="F157" s="144"/>
      <c r="G157" s="144"/>
      <c r="H157" s="144"/>
      <c r="I157" s="144"/>
      <c r="J157" s="144"/>
      <c r="K157" s="144"/>
      <c r="L157" s="144"/>
      <c r="M157" s="144"/>
      <c r="N157" s="144"/>
      <c r="O157" s="144"/>
      <c r="P157" s="144"/>
      <c r="Q157" s="144"/>
      <c r="R157" s="144"/>
      <c r="S157" s="144"/>
      <c r="T157" s="144"/>
      <c r="U157" s="144"/>
      <c r="V157" s="160"/>
      <c r="W157" s="160"/>
      <c r="X157" s="160"/>
      <c r="Y157" s="160"/>
      <c r="Z157" s="160"/>
      <c r="AA157" s="160"/>
      <c r="AB157" s="160"/>
      <c r="AC157" s="160"/>
    </row>
    <row r="158" spans="2:29" ht="12.75" customHeight="1">
      <c r="B158" s="144"/>
      <c r="C158" s="144"/>
      <c r="D158" s="144"/>
      <c r="E158" s="144"/>
      <c r="F158" s="144"/>
      <c r="G158" s="144"/>
      <c r="H158" s="144"/>
      <c r="I158" s="144"/>
      <c r="J158" s="144"/>
      <c r="K158" s="144"/>
      <c r="L158" s="144"/>
      <c r="M158" s="144"/>
      <c r="N158" s="144"/>
      <c r="O158" s="144"/>
      <c r="P158" s="144"/>
      <c r="Q158" s="144"/>
      <c r="R158" s="144"/>
      <c r="S158" s="144"/>
      <c r="T158" s="144"/>
      <c r="U158" s="144"/>
      <c r="V158" s="160"/>
      <c r="W158" s="160"/>
      <c r="X158" s="160"/>
      <c r="Y158" s="160"/>
      <c r="Z158" s="160"/>
      <c r="AA158" s="160"/>
      <c r="AB158" s="160"/>
      <c r="AC158" s="160"/>
    </row>
    <row r="159" spans="2:29" ht="12.75" customHeight="1">
      <c r="B159" s="144"/>
      <c r="C159" s="144"/>
      <c r="D159" s="144"/>
      <c r="E159" s="144"/>
      <c r="F159" s="144"/>
      <c r="G159" s="144"/>
      <c r="H159" s="144"/>
      <c r="I159" s="144"/>
      <c r="J159" s="144"/>
      <c r="K159" s="144"/>
      <c r="L159" s="144"/>
      <c r="M159" s="144"/>
      <c r="N159" s="144"/>
      <c r="O159" s="144"/>
      <c r="P159" s="144"/>
      <c r="Q159" s="144"/>
      <c r="R159" s="144"/>
      <c r="S159" s="144"/>
      <c r="T159" s="144"/>
      <c r="U159" s="144"/>
      <c r="V159" s="160"/>
      <c r="W159" s="160"/>
      <c r="X159" s="160"/>
      <c r="Y159" s="160"/>
      <c r="Z159" s="160"/>
      <c r="AA159" s="160"/>
      <c r="AB159" s="160"/>
      <c r="AC159" s="160"/>
    </row>
    <row r="160" spans="2:29" ht="12.75" customHeight="1">
      <c r="B160" s="144"/>
      <c r="C160" s="144"/>
      <c r="D160" s="144"/>
      <c r="E160" s="144"/>
      <c r="F160" s="144"/>
      <c r="G160" s="144"/>
      <c r="H160" s="144"/>
      <c r="I160" s="144"/>
      <c r="J160" s="144"/>
      <c r="K160" s="144"/>
      <c r="L160" s="144"/>
      <c r="M160" s="144"/>
      <c r="N160" s="144"/>
      <c r="O160" s="144"/>
      <c r="P160" s="144"/>
      <c r="Q160" s="144"/>
      <c r="R160" s="144"/>
      <c r="S160" s="144"/>
      <c r="T160" s="144"/>
      <c r="U160" s="144"/>
      <c r="V160" s="160"/>
      <c r="W160" s="160"/>
      <c r="X160" s="160"/>
      <c r="Y160" s="160"/>
      <c r="Z160" s="160"/>
      <c r="AA160" s="160"/>
      <c r="AB160" s="160"/>
      <c r="AC160" s="160"/>
    </row>
    <row r="161" spans="2:29" ht="12.75" customHeight="1">
      <c r="B161" s="144"/>
      <c r="C161" s="144"/>
      <c r="D161" s="144"/>
      <c r="E161" s="144"/>
      <c r="F161" s="144"/>
      <c r="G161" s="144"/>
      <c r="H161" s="144"/>
      <c r="I161" s="144"/>
      <c r="J161" s="144"/>
      <c r="K161" s="144"/>
      <c r="L161" s="144"/>
      <c r="M161" s="144"/>
      <c r="N161" s="144"/>
      <c r="O161" s="144"/>
      <c r="P161" s="144"/>
      <c r="Q161" s="144"/>
      <c r="R161" s="144"/>
      <c r="S161" s="144"/>
      <c r="T161" s="144"/>
      <c r="U161" s="144"/>
      <c r="V161" s="160"/>
      <c r="W161" s="160"/>
      <c r="X161" s="160"/>
      <c r="Y161" s="160"/>
      <c r="Z161" s="160"/>
      <c r="AA161" s="160"/>
      <c r="AB161" s="160"/>
      <c r="AC161" s="160"/>
    </row>
    <row r="162" spans="2:29" ht="12.75" customHeight="1">
      <c r="B162" s="144"/>
      <c r="C162" s="144"/>
      <c r="D162" s="144"/>
      <c r="E162" s="144"/>
      <c r="F162" s="144"/>
      <c r="G162" s="144"/>
      <c r="H162" s="144"/>
      <c r="I162" s="144"/>
      <c r="J162" s="144"/>
      <c r="K162" s="144"/>
      <c r="L162" s="144"/>
      <c r="M162" s="144"/>
      <c r="N162" s="144"/>
      <c r="O162" s="144"/>
      <c r="P162" s="144"/>
      <c r="Q162" s="144"/>
      <c r="R162" s="144"/>
      <c r="S162" s="144"/>
      <c r="T162" s="144"/>
      <c r="U162" s="144"/>
      <c r="V162" s="160"/>
      <c r="W162" s="160"/>
      <c r="X162" s="160"/>
      <c r="Y162" s="160"/>
      <c r="Z162" s="160"/>
      <c r="AA162" s="160"/>
      <c r="AB162" s="160"/>
      <c r="AC162" s="160"/>
    </row>
    <row r="163" spans="2:29" ht="12.75" customHeight="1">
      <c r="B163" s="144"/>
      <c r="C163" s="144"/>
      <c r="D163" s="144"/>
      <c r="E163" s="144"/>
      <c r="F163" s="144"/>
      <c r="G163" s="144"/>
      <c r="H163" s="144"/>
      <c r="I163" s="144"/>
      <c r="J163" s="144"/>
      <c r="K163" s="144"/>
      <c r="L163" s="144"/>
      <c r="M163" s="144"/>
      <c r="N163" s="144"/>
      <c r="O163" s="144"/>
      <c r="P163" s="144"/>
      <c r="Q163" s="144"/>
      <c r="R163" s="144"/>
      <c r="S163" s="144"/>
      <c r="T163" s="144"/>
      <c r="U163" s="144"/>
      <c r="V163" s="160"/>
      <c r="W163" s="160"/>
      <c r="X163" s="160"/>
      <c r="Y163" s="160"/>
      <c r="Z163" s="160"/>
      <c r="AA163" s="160"/>
      <c r="AB163" s="160"/>
      <c r="AC163" s="160"/>
    </row>
    <row r="164" spans="2:29" ht="12.75" customHeight="1">
      <c r="B164" s="144"/>
      <c r="C164" s="144"/>
      <c r="D164" s="144"/>
      <c r="E164" s="144"/>
      <c r="F164" s="144"/>
      <c r="G164" s="144"/>
      <c r="H164" s="144"/>
      <c r="I164" s="144"/>
      <c r="J164" s="144"/>
      <c r="K164" s="144"/>
      <c r="L164" s="144"/>
      <c r="M164" s="144"/>
      <c r="N164" s="144"/>
      <c r="O164" s="144"/>
      <c r="P164" s="144"/>
      <c r="Q164" s="144"/>
      <c r="R164" s="144"/>
      <c r="S164" s="144"/>
      <c r="T164" s="144"/>
      <c r="U164" s="144"/>
      <c r="V164" s="160"/>
      <c r="W164" s="160"/>
      <c r="X164" s="160"/>
      <c r="Y164" s="160"/>
      <c r="Z164" s="160"/>
      <c r="AA164" s="160"/>
      <c r="AB164" s="160"/>
      <c r="AC164" s="160"/>
    </row>
    <row r="165" spans="2:29" ht="12.75" customHeight="1">
      <c r="B165" s="144"/>
      <c r="C165" s="144"/>
      <c r="D165" s="144"/>
      <c r="E165" s="144"/>
      <c r="F165" s="144"/>
      <c r="G165" s="144"/>
      <c r="H165" s="144"/>
      <c r="I165" s="144"/>
      <c r="J165" s="144"/>
      <c r="K165" s="144"/>
      <c r="L165" s="144"/>
      <c r="M165" s="144"/>
      <c r="N165" s="144"/>
      <c r="O165" s="144"/>
      <c r="P165" s="144"/>
      <c r="Q165" s="144"/>
      <c r="R165" s="144"/>
      <c r="S165" s="144"/>
      <c r="T165" s="144"/>
      <c r="U165" s="144"/>
      <c r="V165" s="160"/>
      <c r="W165" s="160"/>
      <c r="X165" s="160"/>
      <c r="Y165" s="160"/>
      <c r="Z165" s="160"/>
      <c r="AA165" s="160"/>
      <c r="AB165" s="160"/>
      <c r="AC165" s="160"/>
    </row>
    <row r="166" spans="2:29" ht="12.75" customHeight="1">
      <c r="B166" s="144"/>
      <c r="C166" s="144"/>
      <c r="D166" s="144"/>
      <c r="E166" s="144"/>
      <c r="F166" s="144"/>
      <c r="G166" s="144"/>
      <c r="H166" s="144"/>
      <c r="I166" s="144"/>
      <c r="J166" s="144"/>
      <c r="K166" s="144"/>
      <c r="L166" s="144"/>
      <c r="M166" s="144"/>
      <c r="N166" s="144"/>
      <c r="O166" s="144"/>
      <c r="P166" s="144"/>
      <c r="Q166" s="144"/>
      <c r="R166" s="144"/>
      <c r="S166" s="144"/>
      <c r="T166" s="144"/>
      <c r="U166" s="144"/>
      <c r="V166" s="160"/>
      <c r="W166" s="160"/>
      <c r="X166" s="160"/>
      <c r="Y166" s="160"/>
      <c r="Z166" s="160"/>
      <c r="AA166" s="160"/>
      <c r="AB166" s="160"/>
      <c r="AC166" s="160"/>
    </row>
    <row r="167" spans="2:29" ht="12.75" customHeight="1">
      <c r="B167" s="144"/>
      <c r="C167" s="144"/>
      <c r="D167" s="144"/>
      <c r="E167" s="144"/>
      <c r="F167" s="144"/>
      <c r="G167" s="144"/>
      <c r="H167" s="144"/>
      <c r="I167" s="144"/>
      <c r="J167" s="144"/>
      <c r="K167" s="144"/>
      <c r="L167" s="144"/>
      <c r="M167" s="144"/>
      <c r="N167" s="144"/>
      <c r="O167" s="144"/>
      <c r="P167" s="144"/>
      <c r="Q167" s="144"/>
      <c r="R167" s="144"/>
      <c r="S167" s="144"/>
      <c r="T167" s="144"/>
      <c r="U167" s="144"/>
      <c r="V167" s="160"/>
      <c r="W167" s="160"/>
      <c r="X167" s="160"/>
      <c r="Y167" s="160"/>
      <c r="Z167" s="160"/>
      <c r="AA167" s="160"/>
      <c r="AB167" s="160"/>
      <c r="AC167" s="160"/>
    </row>
    <row r="168" spans="2:29" ht="12.75" customHeight="1">
      <c r="B168" s="144"/>
      <c r="C168" s="144"/>
      <c r="D168" s="144"/>
      <c r="E168" s="144"/>
      <c r="F168" s="144"/>
      <c r="G168" s="144"/>
      <c r="H168" s="144"/>
      <c r="I168" s="144"/>
      <c r="J168" s="144"/>
      <c r="K168" s="144"/>
      <c r="L168" s="144"/>
      <c r="M168" s="144"/>
      <c r="N168" s="144"/>
      <c r="O168" s="144"/>
      <c r="P168" s="144"/>
      <c r="Q168" s="144"/>
      <c r="R168" s="144"/>
      <c r="S168" s="144"/>
      <c r="T168" s="144"/>
      <c r="U168" s="144"/>
      <c r="V168" s="160"/>
      <c r="W168" s="160"/>
      <c r="X168" s="160"/>
      <c r="Y168" s="160"/>
      <c r="Z168" s="160"/>
      <c r="AA168" s="160"/>
      <c r="AB168" s="160"/>
      <c r="AC168" s="160"/>
    </row>
    <row r="169" spans="2:29" ht="12.75" customHeight="1">
      <c r="B169" s="144"/>
      <c r="C169" s="144"/>
      <c r="D169" s="144"/>
      <c r="E169" s="144"/>
      <c r="F169" s="144"/>
      <c r="G169" s="144"/>
      <c r="H169" s="144"/>
      <c r="I169" s="144"/>
      <c r="J169" s="144"/>
      <c r="K169" s="144"/>
      <c r="L169" s="144"/>
      <c r="M169" s="144"/>
      <c r="N169" s="144"/>
      <c r="O169" s="144"/>
      <c r="P169" s="144"/>
      <c r="Q169" s="144"/>
      <c r="R169" s="144"/>
      <c r="S169" s="144"/>
      <c r="T169" s="144"/>
      <c r="U169" s="144"/>
      <c r="V169" s="160"/>
      <c r="W169" s="160"/>
      <c r="X169" s="160"/>
      <c r="Y169" s="160"/>
      <c r="Z169" s="160"/>
      <c r="AA169" s="160"/>
      <c r="AB169" s="160"/>
      <c r="AC169" s="160"/>
    </row>
    <row r="170" spans="2:29" ht="12.75" customHeight="1">
      <c r="B170" s="144"/>
      <c r="C170" s="144"/>
      <c r="D170" s="144"/>
      <c r="E170" s="144"/>
      <c r="F170" s="144"/>
      <c r="G170" s="144"/>
      <c r="H170" s="144"/>
      <c r="I170" s="144"/>
      <c r="J170" s="144"/>
      <c r="K170" s="144"/>
      <c r="L170" s="144"/>
      <c r="M170" s="144"/>
      <c r="N170" s="144"/>
      <c r="O170" s="144"/>
      <c r="P170" s="144"/>
      <c r="Q170" s="144"/>
      <c r="R170" s="144"/>
      <c r="S170" s="144"/>
      <c r="T170" s="144"/>
      <c r="U170" s="144"/>
      <c r="V170" s="160"/>
      <c r="W170" s="160"/>
      <c r="X170" s="160"/>
      <c r="Y170" s="160"/>
      <c r="Z170" s="160"/>
      <c r="AA170" s="160"/>
      <c r="AB170" s="160"/>
      <c r="AC170" s="160"/>
    </row>
    <row r="171" spans="2:29" ht="12.75" customHeight="1">
      <c r="B171" s="144"/>
      <c r="C171" s="144"/>
      <c r="D171" s="144"/>
      <c r="E171" s="144"/>
      <c r="F171" s="144"/>
      <c r="G171" s="144"/>
      <c r="H171" s="144"/>
      <c r="I171" s="144"/>
      <c r="J171" s="144"/>
      <c r="K171" s="144"/>
      <c r="L171" s="144"/>
      <c r="M171" s="144"/>
      <c r="N171" s="144"/>
      <c r="O171" s="144"/>
      <c r="P171" s="144"/>
      <c r="Q171" s="144"/>
      <c r="R171" s="144"/>
      <c r="S171" s="144"/>
      <c r="T171" s="144"/>
      <c r="U171" s="144"/>
      <c r="V171" s="160"/>
      <c r="W171" s="160"/>
      <c r="X171" s="160"/>
      <c r="Y171" s="160"/>
      <c r="Z171" s="160"/>
      <c r="AA171" s="160"/>
      <c r="AB171" s="160"/>
      <c r="AC171" s="160"/>
    </row>
    <row r="172" spans="2:29" ht="12.75" customHeight="1">
      <c r="B172" s="144"/>
      <c r="C172" s="144"/>
      <c r="D172" s="144"/>
      <c r="E172" s="144"/>
      <c r="F172" s="144"/>
      <c r="G172" s="144"/>
      <c r="H172" s="144"/>
      <c r="I172" s="144"/>
      <c r="J172" s="144"/>
      <c r="K172" s="144"/>
      <c r="L172" s="144"/>
      <c r="M172" s="144"/>
      <c r="N172" s="144"/>
      <c r="O172" s="144"/>
      <c r="P172" s="144"/>
      <c r="Q172" s="144"/>
      <c r="R172" s="144"/>
      <c r="S172" s="144"/>
      <c r="T172" s="144"/>
      <c r="U172" s="144"/>
      <c r="V172" s="160"/>
      <c r="W172" s="160"/>
      <c r="X172" s="160"/>
      <c r="Y172" s="160"/>
      <c r="Z172" s="160"/>
      <c r="AA172" s="160"/>
      <c r="AB172" s="160"/>
      <c r="AC172" s="160"/>
    </row>
    <row r="173" spans="2:29" ht="12.75" customHeight="1">
      <c r="B173" s="144"/>
      <c r="C173" s="144"/>
      <c r="D173" s="144"/>
      <c r="E173" s="144"/>
      <c r="F173" s="144"/>
      <c r="G173" s="144"/>
      <c r="H173" s="144"/>
      <c r="I173" s="144"/>
      <c r="J173" s="144"/>
      <c r="K173" s="144"/>
      <c r="L173" s="144"/>
      <c r="M173" s="144"/>
      <c r="N173" s="144"/>
      <c r="O173" s="144"/>
      <c r="P173" s="144"/>
      <c r="Q173" s="144"/>
      <c r="R173" s="144"/>
      <c r="S173" s="144"/>
      <c r="T173" s="144"/>
      <c r="U173" s="144"/>
      <c r="V173" s="160"/>
      <c r="W173" s="160"/>
      <c r="X173" s="160"/>
      <c r="Y173" s="160"/>
      <c r="Z173" s="160"/>
      <c r="AA173" s="160"/>
      <c r="AB173" s="160"/>
      <c r="AC173" s="160"/>
    </row>
    <row r="174" spans="2:29" ht="12.75" customHeight="1">
      <c r="B174" s="144"/>
      <c r="C174" s="144"/>
      <c r="D174" s="144"/>
      <c r="E174" s="144"/>
      <c r="F174" s="144"/>
      <c r="G174" s="144"/>
      <c r="H174" s="144"/>
      <c r="I174" s="144"/>
      <c r="J174" s="144"/>
      <c r="K174" s="144"/>
      <c r="L174" s="144"/>
      <c r="M174" s="144"/>
      <c r="N174" s="144"/>
      <c r="O174" s="144"/>
      <c r="P174" s="144"/>
      <c r="Q174" s="144"/>
      <c r="R174" s="144"/>
      <c r="S174" s="144"/>
      <c r="T174" s="144"/>
      <c r="U174" s="144"/>
      <c r="V174" s="160"/>
      <c r="W174" s="160"/>
      <c r="X174" s="160"/>
      <c r="Y174" s="160"/>
      <c r="Z174" s="160"/>
      <c r="AA174" s="160"/>
      <c r="AB174" s="160"/>
      <c r="AC174" s="160"/>
    </row>
    <row r="175" spans="2:29" ht="12.75" customHeight="1">
      <c r="B175" s="144"/>
      <c r="C175" s="144"/>
      <c r="D175" s="144"/>
      <c r="E175" s="144"/>
      <c r="F175" s="144"/>
      <c r="G175" s="144"/>
      <c r="H175" s="144"/>
      <c r="I175" s="144"/>
      <c r="J175" s="144"/>
      <c r="K175" s="144"/>
      <c r="L175" s="144"/>
      <c r="M175" s="144"/>
      <c r="N175" s="144"/>
      <c r="O175" s="144"/>
      <c r="P175" s="144"/>
      <c r="Q175" s="144"/>
      <c r="R175" s="144"/>
      <c r="S175" s="144"/>
      <c r="T175" s="144"/>
      <c r="U175" s="144"/>
      <c r="V175" s="160"/>
      <c r="W175" s="160"/>
      <c r="X175" s="160"/>
      <c r="Y175" s="160"/>
      <c r="Z175" s="160"/>
      <c r="AA175" s="160"/>
      <c r="AB175" s="160"/>
      <c r="AC175" s="160"/>
    </row>
    <row r="176" spans="2:29" ht="12.75" customHeight="1">
      <c r="B176" s="144"/>
      <c r="C176" s="144"/>
      <c r="D176" s="144"/>
      <c r="E176" s="144"/>
      <c r="F176" s="144"/>
      <c r="G176" s="144"/>
      <c r="H176" s="144"/>
      <c r="I176" s="144"/>
      <c r="J176" s="144"/>
      <c r="K176" s="144"/>
      <c r="L176" s="144"/>
      <c r="M176" s="144"/>
      <c r="N176" s="144"/>
      <c r="O176" s="144"/>
      <c r="P176" s="144"/>
      <c r="Q176" s="144"/>
      <c r="R176" s="144"/>
      <c r="S176" s="144"/>
      <c r="T176" s="144"/>
      <c r="U176" s="144"/>
      <c r="V176" s="160"/>
      <c r="W176" s="160"/>
      <c r="X176" s="160"/>
      <c r="Y176" s="160"/>
      <c r="Z176" s="160"/>
      <c r="AA176" s="160"/>
      <c r="AB176" s="160"/>
      <c r="AC176" s="160"/>
    </row>
    <row r="177" spans="2:29" ht="12.75" customHeight="1">
      <c r="B177" s="144"/>
      <c r="C177" s="144"/>
      <c r="D177" s="144"/>
      <c r="E177" s="144"/>
      <c r="F177" s="144"/>
      <c r="G177" s="144"/>
      <c r="H177" s="144"/>
      <c r="I177" s="144"/>
      <c r="J177" s="144"/>
      <c r="K177" s="144"/>
      <c r="L177" s="144"/>
      <c r="M177" s="144"/>
      <c r="N177" s="144"/>
      <c r="O177" s="144"/>
      <c r="P177" s="144"/>
      <c r="Q177" s="144"/>
      <c r="R177" s="144"/>
      <c r="S177" s="144"/>
      <c r="T177" s="144"/>
      <c r="U177" s="144"/>
      <c r="V177" s="160"/>
      <c r="W177" s="160"/>
      <c r="X177" s="160"/>
      <c r="Y177" s="160"/>
      <c r="Z177" s="160"/>
      <c r="AA177" s="160"/>
      <c r="AB177" s="160"/>
      <c r="AC177" s="160"/>
    </row>
    <row r="178" spans="2:29" ht="12.75" customHeight="1">
      <c r="B178" s="144"/>
      <c r="C178" s="144"/>
      <c r="D178" s="144"/>
      <c r="E178" s="144"/>
      <c r="F178" s="144"/>
      <c r="G178" s="144"/>
      <c r="H178" s="144"/>
      <c r="I178" s="144"/>
      <c r="J178" s="144"/>
      <c r="K178" s="144"/>
      <c r="L178" s="144"/>
      <c r="M178" s="144"/>
      <c r="N178" s="144"/>
      <c r="O178" s="144"/>
      <c r="P178" s="144"/>
      <c r="Q178" s="144"/>
      <c r="R178" s="144"/>
      <c r="S178" s="144"/>
      <c r="T178" s="144"/>
      <c r="U178" s="144"/>
      <c r="V178" s="160"/>
      <c r="W178" s="160"/>
      <c r="X178" s="160"/>
      <c r="Y178" s="160"/>
      <c r="Z178" s="160"/>
      <c r="AA178" s="160"/>
      <c r="AB178" s="160"/>
      <c r="AC178" s="160"/>
    </row>
    <row r="179" spans="2:29" ht="12.75" customHeight="1">
      <c r="B179" s="144"/>
      <c r="C179" s="144"/>
      <c r="D179" s="144"/>
      <c r="E179" s="144"/>
      <c r="F179" s="144"/>
      <c r="G179" s="144"/>
      <c r="H179" s="144"/>
      <c r="I179" s="144"/>
      <c r="J179" s="144"/>
      <c r="K179" s="144"/>
      <c r="L179" s="144"/>
      <c r="M179" s="144"/>
      <c r="N179" s="144"/>
      <c r="O179" s="144"/>
      <c r="P179" s="144"/>
      <c r="Q179" s="144"/>
      <c r="R179" s="144"/>
      <c r="S179" s="144"/>
      <c r="T179" s="144"/>
      <c r="U179" s="144"/>
      <c r="V179" s="160"/>
      <c r="W179" s="160"/>
      <c r="X179" s="160"/>
      <c r="Y179" s="160"/>
      <c r="Z179" s="160"/>
      <c r="AA179" s="160"/>
      <c r="AB179" s="160"/>
      <c r="AC179" s="160"/>
    </row>
    <row r="180" spans="2:29" ht="12.75" customHeight="1">
      <c r="B180" s="144"/>
      <c r="C180" s="144"/>
      <c r="D180" s="144"/>
      <c r="E180" s="144"/>
      <c r="F180" s="144"/>
      <c r="G180" s="144"/>
      <c r="H180" s="144"/>
      <c r="I180" s="144"/>
      <c r="J180" s="144"/>
      <c r="K180" s="144"/>
      <c r="L180" s="144"/>
      <c r="M180" s="144"/>
      <c r="N180" s="144"/>
      <c r="O180" s="144"/>
      <c r="P180" s="144"/>
      <c r="Q180" s="144"/>
      <c r="R180" s="144"/>
      <c r="S180" s="144"/>
      <c r="T180" s="144"/>
      <c r="U180" s="144"/>
      <c r="V180" s="160"/>
      <c r="W180" s="160"/>
      <c r="X180" s="160"/>
      <c r="Y180" s="160"/>
      <c r="Z180" s="160"/>
      <c r="AA180" s="160"/>
      <c r="AB180" s="160"/>
      <c r="AC180" s="160"/>
    </row>
    <row r="181" spans="2:29" ht="12.75" customHeight="1">
      <c r="B181" s="144"/>
      <c r="C181" s="144"/>
      <c r="D181" s="144"/>
      <c r="E181" s="144"/>
      <c r="F181" s="144"/>
      <c r="G181" s="144"/>
      <c r="H181" s="144"/>
      <c r="I181" s="144"/>
      <c r="J181" s="144"/>
      <c r="K181" s="144"/>
      <c r="L181" s="144"/>
      <c r="M181" s="144"/>
      <c r="N181" s="144"/>
      <c r="O181" s="144"/>
      <c r="P181" s="144"/>
      <c r="Q181" s="144"/>
      <c r="R181" s="144"/>
      <c r="S181" s="144"/>
      <c r="T181" s="144"/>
      <c r="U181" s="144"/>
      <c r="V181" s="160"/>
      <c r="W181" s="160"/>
      <c r="X181" s="160"/>
      <c r="Y181" s="160"/>
      <c r="Z181" s="160"/>
      <c r="AA181" s="160"/>
      <c r="AB181" s="160"/>
      <c r="AC181" s="160"/>
    </row>
    <row r="182" spans="2:29" ht="12.75" customHeight="1">
      <c r="B182" s="144"/>
      <c r="C182" s="144"/>
      <c r="D182" s="144"/>
      <c r="E182" s="144"/>
      <c r="F182" s="144"/>
      <c r="G182" s="144"/>
      <c r="H182" s="144"/>
      <c r="I182" s="144"/>
      <c r="J182" s="144"/>
      <c r="K182" s="144"/>
      <c r="L182" s="144"/>
      <c r="M182" s="144"/>
      <c r="N182" s="144"/>
      <c r="O182" s="144"/>
      <c r="P182" s="144"/>
      <c r="Q182" s="144"/>
      <c r="R182" s="144"/>
      <c r="S182" s="144"/>
      <c r="T182" s="144"/>
      <c r="U182" s="144"/>
      <c r="V182" s="160"/>
      <c r="W182" s="160"/>
      <c r="X182" s="160"/>
      <c r="Y182" s="160"/>
      <c r="Z182" s="160"/>
      <c r="AA182" s="160"/>
      <c r="AB182" s="160"/>
      <c r="AC182" s="160"/>
    </row>
    <row r="183" spans="2:29" ht="12.75" customHeight="1">
      <c r="B183" s="144"/>
      <c r="C183" s="144"/>
      <c r="D183" s="144"/>
      <c r="E183" s="144"/>
      <c r="F183" s="144"/>
      <c r="G183" s="144"/>
      <c r="H183" s="144"/>
      <c r="I183" s="144"/>
      <c r="J183" s="144"/>
      <c r="K183" s="144"/>
      <c r="L183" s="144"/>
      <c r="M183" s="144"/>
      <c r="N183" s="144"/>
      <c r="O183" s="144"/>
      <c r="P183" s="144"/>
      <c r="Q183" s="144"/>
      <c r="R183" s="144"/>
      <c r="S183" s="144"/>
      <c r="T183" s="144"/>
      <c r="U183" s="144"/>
      <c r="V183" s="160"/>
      <c r="W183" s="160"/>
      <c r="X183" s="160"/>
      <c r="Y183" s="160"/>
      <c r="Z183" s="160"/>
      <c r="AA183" s="160"/>
      <c r="AB183" s="160"/>
      <c r="AC183" s="160"/>
    </row>
    <row r="184" spans="2:29" ht="12.75" customHeight="1">
      <c r="B184" s="144"/>
      <c r="C184" s="144"/>
      <c r="D184" s="144"/>
      <c r="E184" s="144"/>
      <c r="F184" s="144"/>
      <c r="G184" s="144"/>
      <c r="H184" s="144"/>
      <c r="I184" s="144"/>
      <c r="J184" s="144"/>
      <c r="K184" s="144"/>
      <c r="L184" s="144"/>
      <c r="M184" s="144"/>
      <c r="N184" s="144"/>
      <c r="O184" s="144"/>
      <c r="P184" s="144"/>
      <c r="Q184" s="144"/>
      <c r="R184" s="144"/>
      <c r="S184" s="144"/>
      <c r="T184" s="144"/>
      <c r="U184" s="144"/>
      <c r="V184" s="160"/>
      <c r="W184" s="160"/>
      <c r="X184" s="160"/>
      <c r="Y184" s="160"/>
      <c r="Z184" s="160"/>
      <c r="AA184" s="160"/>
      <c r="AB184" s="160"/>
      <c r="AC184" s="160"/>
    </row>
    <row r="185" spans="2:29" ht="12.75" customHeight="1">
      <c r="B185" s="144"/>
      <c r="C185" s="144"/>
      <c r="D185" s="144"/>
      <c r="E185" s="144"/>
      <c r="F185" s="144"/>
      <c r="G185" s="144"/>
      <c r="H185" s="144"/>
      <c r="I185" s="144"/>
      <c r="J185" s="144"/>
      <c r="K185" s="144"/>
      <c r="L185" s="144"/>
      <c r="M185" s="144"/>
      <c r="N185" s="144"/>
      <c r="O185" s="144"/>
      <c r="P185" s="144"/>
      <c r="Q185" s="144"/>
      <c r="R185" s="144"/>
      <c r="S185" s="144"/>
      <c r="T185" s="144"/>
      <c r="U185" s="144"/>
      <c r="V185" s="160"/>
      <c r="W185" s="160"/>
      <c r="X185" s="160"/>
      <c r="Y185" s="160"/>
      <c r="Z185" s="160"/>
      <c r="AA185" s="160"/>
      <c r="AB185" s="160"/>
      <c r="AC185" s="160"/>
    </row>
    <row r="186" spans="2:29" ht="12.75" customHeight="1">
      <c r="B186" s="144"/>
      <c r="C186" s="144"/>
      <c r="D186" s="144"/>
      <c r="E186" s="144"/>
      <c r="F186" s="144"/>
      <c r="G186" s="144"/>
      <c r="H186" s="144"/>
      <c r="I186" s="144"/>
      <c r="J186" s="144"/>
      <c r="K186" s="144"/>
      <c r="L186" s="144"/>
      <c r="M186" s="144"/>
      <c r="N186" s="144"/>
      <c r="O186" s="144"/>
      <c r="P186" s="144"/>
      <c r="Q186" s="144"/>
      <c r="R186" s="144"/>
      <c r="S186" s="144"/>
      <c r="T186" s="144"/>
      <c r="U186" s="144"/>
      <c r="V186" s="160"/>
      <c r="W186" s="160"/>
      <c r="X186" s="160"/>
      <c r="Y186" s="160"/>
      <c r="Z186" s="160"/>
      <c r="AA186" s="160"/>
      <c r="AB186" s="160"/>
      <c r="AC186" s="160"/>
    </row>
    <row r="187" spans="2:29" ht="12.75" customHeight="1">
      <c r="B187" s="144"/>
      <c r="C187" s="144"/>
      <c r="D187" s="144"/>
      <c r="E187" s="144"/>
      <c r="F187" s="144"/>
      <c r="G187" s="144"/>
      <c r="H187" s="144"/>
      <c r="I187" s="144"/>
      <c r="J187" s="144"/>
      <c r="K187" s="144"/>
      <c r="L187" s="144"/>
      <c r="M187" s="144"/>
      <c r="N187" s="144"/>
      <c r="O187" s="144"/>
      <c r="P187" s="144"/>
      <c r="Q187" s="144"/>
      <c r="R187" s="144"/>
      <c r="S187" s="144"/>
      <c r="T187" s="144"/>
      <c r="U187" s="144"/>
      <c r="V187" s="160"/>
      <c r="W187" s="160"/>
      <c r="X187" s="160"/>
      <c r="Y187" s="160"/>
      <c r="Z187" s="160"/>
      <c r="AA187" s="160"/>
      <c r="AB187" s="160"/>
      <c r="AC187" s="160"/>
    </row>
    <row r="188" spans="2:29" ht="12.75" customHeight="1">
      <c r="B188" s="144"/>
      <c r="C188" s="144"/>
      <c r="D188" s="144"/>
      <c r="E188" s="144"/>
      <c r="F188" s="144"/>
      <c r="G188" s="144"/>
      <c r="H188" s="144"/>
      <c r="I188" s="144"/>
      <c r="J188" s="144"/>
      <c r="K188" s="144"/>
      <c r="L188" s="144"/>
      <c r="M188" s="144"/>
      <c r="N188" s="144"/>
      <c r="O188" s="144"/>
      <c r="P188" s="144"/>
      <c r="Q188" s="144"/>
      <c r="R188" s="144"/>
      <c r="S188" s="144"/>
      <c r="T188" s="144"/>
      <c r="U188" s="144"/>
      <c r="V188" s="160"/>
      <c r="W188" s="160"/>
      <c r="X188" s="160"/>
      <c r="Y188" s="160"/>
      <c r="Z188" s="160"/>
      <c r="AA188" s="160"/>
      <c r="AB188" s="160"/>
      <c r="AC188" s="160"/>
    </row>
    <row r="189" spans="2:29" ht="12.75" customHeight="1">
      <c r="B189" s="144"/>
      <c r="C189" s="144"/>
      <c r="D189" s="144"/>
      <c r="E189" s="144"/>
      <c r="F189" s="144"/>
      <c r="G189" s="144"/>
      <c r="H189" s="144"/>
      <c r="I189" s="144"/>
      <c r="J189" s="144"/>
      <c r="K189" s="144"/>
      <c r="L189" s="144"/>
      <c r="M189" s="144"/>
      <c r="N189" s="144"/>
      <c r="O189" s="144"/>
      <c r="P189" s="144"/>
      <c r="Q189" s="144"/>
      <c r="R189" s="144"/>
      <c r="S189" s="144"/>
      <c r="T189" s="144"/>
      <c r="U189" s="144"/>
      <c r="V189" s="160"/>
      <c r="W189" s="160"/>
      <c r="X189" s="160"/>
      <c r="Y189" s="160"/>
      <c r="Z189" s="160"/>
      <c r="AA189" s="160"/>
      <c r="AB189" s="160"/>
      <c r="AC189" s="160"/>
    </row>
    <row r="190" spans="2:29" ht="12.75" customHeight="1">
      <c r="B190" s="144"/>
      <c r="C190" s="144"/>
      <c r="D190" s="144"/>
      <c r="E190" s="144"/>
      <c r="F190" s="144"/>
      <c r="G190" s="144"/>
      <c r="H190" s="144"/>
      <c r="I190" s="144"/>
      <c r="J190" s="144"/>
      <c r="K190" s="144"/>
      <c r="L190" s="144"/>
      <c r="M190" s="144"/>
      <c r="N190" s="144"/>
      <c r="O190" s="144"/>
      <c r="P190" s="144"/>
      <c r="Q190" s="144"/>
      <c r="R190" s="144"/>
      <c r="S190" s="144"/>
      <c r="T190" s="144"/>
      <c r="U190" s="144"/>
      <c r="V190" s="160"/>
      <c r="W190" s="160"/>
      <c r="X190" s="160"/>
      <c r="Y190" s="160"/>
      <c r="Z190" s="160"/>
      <c r="AA190" s="160"/>
      <c r="AB190" s="160"/>
      <c r="AC190" s="160"/>
    </row>
    <row r="191" spans="2:29" ht="12.75" customHeight="1">
      <c r="B191" s="144"/>
      <c r="C191" s="144"/>
      <c r="D191" s="144"/>
      <c r="E191" s="144"/>
      <c r="F191" s="144"/>
      <c r="G191" s="144"/>
      <c r="H191" s="144"/>
      <c r="I191" s="144"/>
      <c r="J191" s="144"/>
      <c r="K191" s="144"/>
      <c r="L191" s="144"/>
      <c r="M191" s="144"/>
      <c r="N191" s="144"/>
      <c r="O191" s="144"/>
      <c r="P191" s="144"/>
      <c r="Q191" s="144"/>
      <c r="R191" s="144"/>
      <c r="S191" s="144"/>
      <c r="T191" s="144"/>
      <c r="U191" s="144"/>
      <c r="V191" s="160"/>
      <c r="W191" s="160"/>
      <c r="X191" s="160"/>
      <c r="Y191" s="160"/>
      <c r="Z191" s="160"/>
      <c r="AA191" s="160"/>
      <c r="AB191" s="160"/>
      <c r="AC191" s="160"/>
    </row>
    <row r="192" spans="2:29" ht="12.75" customHeight="1">
      <c r="B192" s="144"/>
      <c r="C192" s="144"/>
      <c r="D192" s="144"/>
      <c r="E192" s="144"/>
      <c r="F192" s="144"/>
      <c r="G192" s="144"/>
      <c r="H192" s="144"/>
      <c r="I192" s="144"/>
      <c r="J192" s="144"/>
      <c r="K192" s="144"/>
      <c r="L192" s="144"/>
      <c r="M192" s="144"/>
      <c r="N192" s="144"/>
      <c r="O192" s="144"/>
      <c r="P192" s="144"/>
      <c r="Q192" s="144"/>
      <c r="R192" s="144"/>
      <c r="S192" s="144"/>
      <c r="T192" s="144"/>
      <c r="U192" s="144"/>
      <c r="V192" s="160"/>
      <c r="W192" s="160"/>
      <c r="X192" s="160"/>
      <c r="Y192" s="160"/>
      <c r="Z192" s="160"/>
      <c r="AA192" s="160"/>
      <c r="AB192" s="160"/>
      <c r="AC192" s="160"/>
    </row>
    <row r="193" spans="2:29" ht="12.75" customHeight="1">
      <c r="B193" s="144"/>
      <c r="C193" s="144"/>
      <c r="D193" s="144"/>
      <c r="E193" s="144"/>
      <c r="F193" s="144"/>
      <c r="G193" s="144"/>
      <c r="H193" s="144"/>
      <c r="I193" s="144"/>
      <c r="J193" s="144"/>
      <c r="K193" s="144"/>
      <c r="L193" s="144"/>
      <c r="M193" s="144"/>
      <c r="N193" s="144"/>
      <c r="O193" s="144"/>
      <c r="P193" s="144"/>
      <c r="Q193" s="144"/>
      <c r="R193" s="144"/>
      <c r="S193" s="144"/>
      <c r="T193" s="144"/>
      <c r="U193" s="144"/>
      <c r="V193" s="160"/>
      <c r="W193" s="160"/>
      <c r="X193" s="160"/>
      <c r="Y193" s="160"/>
      <c r="Z193" s="160"/>
      <c r="AA193" s="160"/>
      <c r="AB193" s="160"/>
      <c r="AC193" s="160"/>
    </row>
    <row r="194" spans="2:29" ht="12.75" customHeight="1">
      <c r="B194" s="144"/>
      <c r="C194" s="144"/>
      <c r="D194" s="144"/>
      <c r="E194" s="144"/>
      <c r="F194" s="144"/>
      <c r="G194" s="144"/>
      <c r="H194" s="144"/>
      <c r="I194" s="144"/>
      <c r="J194" s="144"/>
      <c r="K194" s="144"/>
      <c r="L194" s="144"/>
      <c r="M194" s="144"/>
      <c r="N194" s="144"/>
      <c r="O194" s="144"/>
      <c r="P194" s="144"/>
      <c r="Q194" s="144"/>
      <c r="R194" s="144"/>
      <c r="S194" s="144"/>
      <c r="T194" s="144"/>
      <c r="U194" s="144"/>
      <c r="V194" s="160"/>
      <c r="W194" s="160"/>
      <c r="X194" s="160"/>
      <c r="Y194" s="160"/>
      <c r="Z194" s="160"/>
      <c r="AA194" s="160"/>
      <c r="AB194" s="160"/>
      <c r="AC194" s="160"/>
    </row>
    <row r="195" spans="2:29" ht="12.75" customHeight="1">
      <c r="B195" s="144"/>
      <c r="C195" s="144"/>
      <c r="D195" s="144"/>
      <c r="E195" s="144"/>
      <c r="F195" s="144"/>
      <c r="G195" s="144"/>
      <c r="H195" s="144"/>
      <c r="I195" s="144"/>
      <c r="J195" s="144"/>
      <c r="K195" s="144"/>
      <c r="L195" s="144"/>
      <c r="M195" s="144"/>
      <c r="N195" s="144"/>
      <c r="O195" s="144"/>
      <c r="P195" s="144"/>
      <c r="Q195" s="144"/>
      <c r="R195" s="144"/>
      <c r="S195" s="144"/>
      <c r="T195" s="144"/>
      <c r="U195" s="144"/>
      <c r="V195" s="160"/>
      <c r="W195" s="160"/>
      <c r="X195" s="160"/>
      <c r="Y195" s="160"/>
      <c r="Z195" s="160"/>
      <c r="AA195" s="160"/>
      <c r="AB195" s="160"/>
      <c r="AC195" s="160"/>
    </row>
    <row r="196" spans="2:29" ht="12.75" customHeight="1">
      <c r="B196" s="144"/>
      <c r="C196" s="144"/>
      <c r="D196" s="144"/>
      <c r="E196" s="144"/>
      <c r="F196" s="144"/>
      <c r="G196" s="144"/>
      <c r="H196" s="144"/>
      <c r="I196" s="144"/>
      <c r="J196" s="144"/>
      <c r="K196" s="144"/>
      <c r="L196" s="144"/>
      <c r="M196" s="144"/>
      <c r="N196" s="144"/>
      <c r="O196" s="144"/>
      <c r="P196" s="144"/>
      <c r="Q196" s="144"/>
      <c r="R196" s="144"/>
      <c r="S196" s="144"/>
      <c r="T196" s="144"/>
      <c r="U196" s="144"/>
      <c r="V196" s="160"/>
      <c r="W196" s="160"/>
      <c r="X196" s="160"/>
      <c r="Y196" s="160"/>
      <c r="Z196" s="160"/>
      <c r="AA196" s="160"/>
      <c r="AB196" s="160"/>
      <c r="AC196" s="160"/>
    </row>
    <row r="197" spans="2:29" ht="12.75" customHeight="1">
      <c r="B197" s="144"/>
      <c r="C197" s="144"/>
      <c r="D197" s="144"/>
      <c r="E197" s="144"/>
      <c r="F197" s="144"/>
      <c r="G197" s="144"/>
      <c r="H197" s="144"/>
      <c r="I197" s="144"/>
      <c r="J197" s="144"/>
      <c r="K197" s="144"/>
      <c r="L197" s="144"/>
      <c r="M197" s="144"/>
      <c r="N197" s="144"/>
      <c r="O197" s="144"/>
      <c r="P197" s="144"/>
      <c r="Q197" s="144"/>
      <c r="R197" s="144"/>
      <c r="S197" s="144"/>
      <c r="T197" s="144"/>
      <c r="U197" s="144"/>
      <c r="V197" s="160"/>
      <c r="W197" s="160"/>
      <c r="X197" s="160"/>
      <c r="Y197" s="160"/>
      <c r="Z197" s="160"/>
      <c r="AA197" s="160"/>
      <c r="AB197" s="160"/>
      <c r="AC197" s="160"/>
    </row>
    <row r="198" spans="2:29" ht="12.75" customHeight="1">
      <c r="B198" s="144"/>
      <c r="C198" s="144"/>
      <c r="D198" s="144"/>
      <c r="E198" s="144"/>
      <c r="F198" s="144"/>
      <c r="G198" s="144"/>
      <c r="H198" s="144"/>
      <c r="I198" s="144"/>
      <c r="J198" s="144"/>
      <c r="K198" s="144"/>
      <c r="L198" s="144"/>
      <c r="M198" s="144"/>
      <c r="N198" s="144"/>
      <c r="O198" s="144"/>
      <c r="P198" s="144"/>
      <c r="Q198" s="144"/>
      <c r="R198" s="144"/>
      <c r="S198" s="144"/>
      <c r="T198" s="144"/>
      <c r="U198" s="144"/>
      <c r="V198" s="160"/>
      <c r="W198" s="160"/>
      <c r="X198" s="160"/>
      <c r="Y198" s="160"/>
      <c r="Z198" s="160"/>
      <c r="AA198" s="160"/>
      <c r="AB198" s="160"/>
      <c r="AC198" s="160"/>
    </row>
    <row r="199" spans="2:29" ht="12.75" customHeight="1">
      <c r="B199" s="144"/>
      <c r="C199" s="144"/>
      <c r="D199" s="144"/>
      <c r="E199" s="144"/>
      <c r="F199" s="144"/>
      <c r="G199" s="144"/>
      <c r="H199" s="144"/>
      <c r="I199" s="144"/>
      <c r="J199" s="144"/>
      <c r="K199" s="144"/>
      <c r="L199" s="144"/>
      <c r="M199" s="144"/>
      <c r="N199" s="144"/>
      <c r="O199" s="144"/>
      <c r="P199" s="144"/>
      <c r="Q199" s="144"/>
      <c r="R199" s="144"/>
      <c r="S199" s="144"/>
      <c r="T199" s="144"/>
      <c r="U199" s="144"/>
      <c r="V199" s="160"/>
      <c r="W199" s="160"/>
      <c r="X199" s="160"/>
      <c r="Y199" s="160"/>
      <c r="Z199" s="160"/>
      <c r="AA199" s="160"/>
      <c r="AB199" s="160"/>
      <c r="AC199" s="160"/>
    </row>
    <row r="200" spans="2:29" ht="12.75" customHeight="1">
      <c r="B200" s="144"/>
      <c r="C200" s="144"/>
      <c r="D200" s="144"/>
      <c r="E200" s="144"/>
      <c r="F200" s="144"/>
      <c r="G200" s="144"/>
      <c r="H200" s="144"/>
      <c r="I200" s="144"/>
      <c r="J200" s="144"/>
      <c r="K200" s="144"/>
      <c r="L200" s="144"/>
      <c r="M200" s="144"/>
      <c r="N200" s="144"/>
      <c r="O200" s="144"/>
      <c r="P200" s="144"/>
      <c r="Q200" s="144"/>
      <c r="R200" s="144"/>
      <c r="S200" s="144"/>
      <c r="T200" s="144"/>
      <c r="U200" s="144"/>
      <c r="V200" s="160"/>
      <c r="W200" s="160"/>
      <c r="X200" s="160"/>
      <c r="Y200" s="160"/>
      <c r="Z200" s="160"/>
      <c r="AA200" s="160"/>
      <c r="AB200" s="160"/>
      <c r="AC200" s="160"/>
    </row>
    <row r="201" spans="2:29" ht="12.75" customHeight="1">
      <c r="B201" s="144"/>
      <c r="C201" s="144"/>
      <c r="D201" s="144"/>
      <c r="E201" s="144"/>
      <c r="F201" s="144"/>
      <c r="G201" s="144"/>
      <c r="H201" s="144"/>
      <c r="I201" s="144"/>
      <c r="J201" s="144"/>
      <c r="K201" s="144"/>
      <c r="L201" s="144"/>
      <c r="M201" s="144"/>
      <c r="N201" s="144"/>
      <c r="O201" s="144"/>
      <c r="P201" s="144"/>
      <c r="Q201" s="144"/>
      <c r="R201" s="144"/>
      <c r="S201" s="144"/>
      <c r="T201" s="144"/>
      <c r="U201" s="144"/>
      <c r="V201" s="160"/>
      <c r="W201" s="160"/>
      <c r="X201" s="160"/>
      <c r="Y201" s="160"/>
      <c r="Z201" s="160"/>
      <c r="AA201" s="160"/>
      <c r="AB201" s="160"/>
      <c r="AC201" s="160"/>
    </row>
    <row r="202" spans="2:29" ht="12.75" customHeight="1">
      <c r="B202" s="144"/>
      <c r="C202" s="144"/>
      <c r="D202" s="144"/>
      <c r="E202" s="144"/>
      <c r="F202" s="144"/>
      <c r="G202" s="144"/>
      <c r="H202" s="144"/>
      <c r="I202" s="144"/>
      <c r="J202" s="144"/>
      <c r="K202" s="144"/>
      <c r="L202" s="144"/>
      <c r="M202" s="144"/>
      <c r="N202" s="144"/>
      <c r="O202" s="144"/>
      <c r="P202" s="144"/>
      <c r="Q202" s="144"/>
      <c r="R202" s="144"/>
      <c r="S202" s="144"/>
      <c r="T202" s="144"/>
      <c r="U202" s="144"/>
      <c r="V202" s="160"/>
      <c r="W202" s="160"/>
      <c r="X202" s="160"/>
      <c r="Y202" s="160"/>
      <c r="Z202" s="160"/>
      <c r="AA202" s="160"/>
      <c r="AB202" s="160"/>
      <c r="AC202" s="160"/>
    </row>
    <row r="203" spans="2:29" ht="12.75" customHeight="1">
      <c r="B203" s="144"/>
      <c r="C203" s="144"/>
      <c r="D203" s="144"/>
      <c r="E203" s="144"/>
      <c r="F203" s="144"/>
      <c r="G203" s="144"/>
      <c r="H203" s="144"/>
      <c r="I203" s="144"/>
      <c r="J203" s="144"/>
      <c r="K203" s="144"/>
      <c r="L203" s="144"/>
      <c r="M203" s="144"/>
      <c r="N203" s="144"/>
      <c r="O203" s="144"/>
      <c r="P203" s="144"/>
      <c r="Q203" s="144"/>
      <c r="R203" s="144"/>
      <c r="S203" s="144"/>
      <c r="T203" s="144"/>
      <c r="U203" s="144"/>
      <c r="V203" s="160"/>
      <c r="W203" s="160"/>
      <c r="X203" s="160"/>
      <c r="Y203" s="160"/>
      <c r="Z203" s="160"/>
      <c r="AA203" s="160"/>
      <c r="AB203" s="160"/>
      <c r="AC203" s="160"/>
    </row>
    <row r="204" spans="2:29" ht="12.75" customHeight="1">
      <c r="B204" s="144"/>
      <c r="C204" s="144"/>
      <c r="D204" s="144"/>
      <c r="E204" s="144"/>
      <c r="F204" s="144"/>
      <c r="G204" s="144"/>
      <c r="H204" s="144"/>
      <c r="I204" s="144"/>
      <c r="J204" s="144"/>
      <c r="K204" s="144"/>
      <c r="L204" s="144"/>
      <c r="M204" s="144"/>
      <c r="N204" s="144"/>
      <c r="O204" s="144"/>
      <c r="P204" s="144"/>
      <c r="Q204" s="144"/>
      <c r="R204" s="144"/>
      <c r="S204" s="144"/>
      <c r="T204" s="144"/>
      <c r="U204" s="144"/>
      <c r="V204" s="160"/>
      <c r="W204" s="160"/>
      <c r="X204" s="160"/>
      <c r="Y204" s="160"/>
      <c r="Z204" s="160"/>
      <c r="AA204" s="160"/>
      <c r="AB204" s="160"/>
      <c r="AC204" s="160"/>
    </row>
    <row r="205" spans="2:29" ht="12.75" customHeight="1">
      <c r="B205" s="144"/>
      <c r="C205" s="144"/>
      <c r="D205" s="144"/>
      <c r="E205" s="144"/>
      <c r="F205" s="144"/>
      <c r="G205" s="144"/>
      <c r="H205" s="144"/>
      <c r="I205" s="144"/>
      <c r="J205" s="144"/>
      <c r="K205" s="144"/>
      <c r="L205" s="144"/>
      <c r="M205" s="144"/>
      <c r="N205" s="144"/>
      <c r="O205" s="144"/>
      <c r="P205" s="144"/>
      <c r="Q205" s="144"/>
      <c r="R205" s="144"/>
      <c r="S205" s="144"/>
      <c r="T205" s="144"/>
      <c r="U205" s="144"/>
      <c r="V205" s="160"/>
      <c r="W205" s="160"/>
      <c r="X205" s="160"/>
      <c r="Y205" s="160"/>
      <c r="Z205" s="160"/>
      <c r="AA205" s="160"/>
      <c r="AB205" s="160"/>
      <c r="AC205" s="160"/>
    </row>
    <row r="206" spans="2:29" ht="12.75" customHeight="1">
      <c r="B206" s="144"/>
      <c r="C206" s="144"/>
      <c r="D206" s="144"/>
      <c r="E206" s="144"/>
      <c r="F206" s="144"/>
      <c r="G206" s="144"/>
      <c r="H206" s="144"/>
      <c r="I206" s="144"/>
      <c r="J206" s="144"/>
      <c r="K206" s="144"/>
      <c r="L206" s="144"/>
      <c r="M206" s="144"/>
      <c r="N206" s="144"/>
      <c r="O206" s="144"/>
      <c r="P206" s="144"/>
      <c r="Q206" s="144"/>
      <c r="R206" s="144"/>
      <c r="S206" s="144"/>
      <c r="T206" s="144"/>
      <c r="U206" s="144"/>
      <c r="V206" s="160"/>
      <c r="W206" s="160"/>
      <c r="X206" s="160"/>
      <c r="Y206" s="160"/>
      <c r="Z206" s="160"/>
      <c r="AA206" s="160"/>
      <c r="AB206" s="160"/>
      <c r="AC206" s="160"/>
    </row>
    <row r="207" spans="2:29" ht="12.75" customHeight="1">
      <c r="B207" s="144"/>
      <c r="C207" s="144"/>
      <c r="D207" s="144"/>
      <c r="E207" s="144"/>
      <c r="F207" s="144"/>
      <c r="G207" s="144"/>
      <c r="H207" s="144"/>
      <c r="I207" s="144"/>
      <c r="J207" s="144"/>
      <c r="K207" s="144"/>
      <c r="L207" s="144"/>
      <c r="M207" s="144"/>
      <c r="N207" s="144"/>
      <c r="O207" s="144"/>
      <c r="P207" s="144"/>
      <c r="Q207" s="144"/>
      <c r="R207" s="144"/>
      <c r="S207" s="144"/>
      <c r="T207" s="144"/>
      <c r="U207" s="144"/>
      <c r="V207" s="160"/>
      <c r="W207" s="160"/>
      <c r="X207" s="160"/>
      <c r="Y207" s="160"/>
      <c r="Z207" s="160"/>
      <c r="AA207" s="160"/>
      <c r="AB207" s="160"/>
      <c r="AC207" s="160"/>
    </row>
    <row r="208" spans="2:29" ht="12.75" customHeight="1">
      <c r="B208" s="144"/>
      <c r="C208" s="144"/>
      <c r="D208" s="144"/>
      <c r="E208" s="144"/>
      <c r="F208" s="144"/>
      <c r="G208" s="144"/>
      <c r="H208" s="144"/>
      <c r="I208" s="144"/>
      <c r="J208" s="144"/>
      <c r="K208" s="144"/>
      <c r="L208" s="144"/>
      <c r="M208" s="144"/>
      <c r="N208" s="144"/>
      <c r="O208" s="144"/>
      <c r="P208" s="144"/>
      <c r="Q208" s="144"/>
      <c r="R208" s="144"/>
      <c r="S208" s="144"/>
      <c r="T208" s="144"/>
      <c r="U208" s="144"/>
      <c r="V208" s="160"/>
      <c r="W208" s="160"/>
      <c r="X208" s="160"/>
      <c r="Y208" s="160"/>
      <c r="Z208" s="160"/>
      <c r="AA208" s="160"/>
      <c r="AB208" s="160"/>
      <c r="AC208" s="160"/>
    </row>
    <row r="209" spans="2:29" ht="12.75" customHeight="1">
      <c r="B209" s="144"/>
      <c r="C209" s="144"/>
      <c r="D209" s="144"/>
      <c r="E209" s="144"/>
      <c r="F209" s="144"/>
      <c r="G209" s="144"/>
      <c r="H209" s="144"/>
      <c r="I209" s="144"/>
      <c r="J209" s="144"/>
      <c r="K209" s="144"/>
      <c r="L209" s="144"/>
      <c r="M209" s="144"/>
      <c r="N209" s="144"/>
      <c r="O209" s="144"/>
      <c r="P209" s="144"/>
      <c r="Q209" s="144"/>
      <c r="R209" s="144"/>
      <c r="S209" s="144"/>
      <c r="T209" s="144"/>
      <c r="U209" s="144"/>
      <c r="V209" s="160"/>
      <c r="W209" s="160"/>
      <c r="X209" s="160"/>
      <c r="Y209" s="160"/>
      <c r="Z209" s="160"/>
      <c r="AA209" s="160"/>
      <c r="AB209" s="160"/>
      <c r="AC209" s="160"/>
    </row>
    <row r="210" spans="2:29" ht="12.75" customHeight="1">
      <c r="B210" s="144"/>
      <c r="C210" s="144"/>
      <c r="D210" s="144"/>
      <c r="E210" s="144"/>
      <c r="F210" s="144"/>
      <c r="G210" s="144"/>
      <c r="H210" s="144"/>
      <c r="I210" s="144"/>
      <c r="J210" s="144"/>
      <c r="K210" s="144"/>
      <c r="L210" s="144"/>
      <c r="M210" s="144"/>
      <c r="N210" s="144"/>
      <c r="O210" s="144"/>
      <c r="P210" s="144"/>
      <c r="Q210" s="144"/>
      <c r="R210" s="144"/>
      <c r="S210" s="144"/>
      <c r="T210" s="144"/>
      <c r="U210" s="144"/>
      <c r="V210" s="160"/>
      <c r="W210" s="160"/>
      <c r="X210" s="160"/>
      <c r="Y210" s="160"/>
      <c r="Z210" s="160"/>
      <c r="AA210" s="160"/>
      <c r="AB210" s="160"/>
      <c r="AC210" s="160"/>
    </row>
    <row r="211" spans="2:29" ht="12.75" customHeight="1">
      <c r="B211" s="144"/>
      <c r="C211" s="144"/>
      <c r="D211" s="144"/>
      <c r="E211" s="144"/>
      <c r="F211" s="144"/>
      <c r="G211" s="144"/>
      <c r="H211" s="144"/>
      <c r="I211" s="144"/>
      <c r="J211" s="144"/>
      <c r="K211" s="144"/>
      <c r="L211" s="144"/>
      <c r="M211" s="144"/>
      <c r="N211" s="144"/>
      <c r="O211" s="144"/>
      <c r="P211" s="144"/>
      <c r="Q211" s="144"/>
      <c r="R211" s="144"/>
      <c r="S211" s="144"/>
      <c r="T211" s="144"/>
      <c r="U211" s="144"/>
      <c r="V211" s="160"/>
      <c r="W211" s="160"/>
      <c r="X211" s="160"/>
      <c r="Y211" s="160"/>
      <c r="Z211" s="160"/>
      <c r="AA211" s="160"/>
      <c r="AB211" s="160"/>
      <c r="AC211" s="160"/>
    </row>
    <row r="212" spans="2:29" ht="12.75" customHeight="1">
      <c r="B212" s="144"/>
      <c r="C212" s="144"/>
      <c r="D212" s="144"/>
      <c r="E212" s="144"/>
      <c r="F212" s="144"/>
      <c r="G212" s="144"/>
      <c r="H212" s="144"/>
      <c r="I212" s="144"/>
      <c r="J212" s="144"/>
      <c r="K212" s="144"/>
      <c r="L212" s="144"/>
      <c r="M212" s="144"/>
      <c r="N212" s="144"/>
      <c r="O212" s="144"/>
      <c r="P212" s="144"/>
      <c r="Q212" s="144"/>
      <c r="R212" s="144"/>
      <c r="S212" s="144"/>
      <c r="T212" s="144"/>
      <c r="U212" s="144"/>
      <c r="V212" s="160"/>
      <c r="W212" s="160"/>
      <c r="X212" s="160"/>
      <c r="Y212" s="160"/>
      <c r="Z212" s="160"/>
      <c r="AA212" s="160"/>
      <c r="AB212" s="160"/>
      <c r="AC212" s="160"/>
    </row>
    <row r="213" spans="2:29" ht="12.75" customHeight="1">
      <c r="B213" s="144"/>
      <c r="C213" s="144"/>
      <c r="D213" s="144"/>
      <c r="E213" s="144"/>
      <c r="F213" s="144"/>
      <c r="G213" s="144"/>
      <c r="H213" s="144"/>
      <c r="I213" s="144"/>
      <c r="J213" s="144"/>
      <c r="K213" s="144"/>
      <c r="L213" s="144"/>
      <c r="M213" s="144"/>
      <c r="N213" s="144"/>
      <c r="O213" s="144"/>
      <c r="P213" s="144"/>
      <c r="Q213" s="144"/>
      <c r="R213" s="144"/>
      <c r="S213" s="144"/>
      <c r="T213" s="144"/>
      <c r="U213" s="144"/>
      <c r="V213" s="160"/>
      <c r="W213" s="160"/>
      <c r="X213" s="160"/>
      <c r="Y213" s="160"/>
      <c r="Z213" s="160"/>
      <c r="AA213" s="160"/>
      <c r="AB213" s="160"/>
      <c r="AC213" s="160"/>
    </row>
    <row r="214" spans="2:29" ht="12.75" customHeight="1">
      <c r="B214" s="144"/>
      <c r="C214" s="144"/>
      <c r="D214" s="144"/>
      <c r="E214" s="144"/>
      <c r="F214" s="144"/>
      <c r="G214" s="144"/>
      <c r="H214" s="144"/>
      <c r="I214" s="144"/>
      <c r="J214" s="144"/>
      <c r="K214" s="144"/>
      <c r="L214" s="144"/>
      <c r="M214" s="144"/>
      <c r="N214" s="144"/>
      <c r="O214" s="144"/>
      <c r="P214" s="144"/>
      <c r="Q214" s="144"/>
      <c r="R214" s="144"/>
      <c r="S214" s="144"/>
      <c r="T214" s="144"/>
      <c r="U214" s="144"/>
      <c r="V214" s="160"/>
      <c r="W214" s="160"/>
      <c r="X214" s="160"/>
      <c r="Y214" s="160"/>
      <c r="Z214" s="160"/>
      <c r="AA214" s="160"/>
      <c r="AB214" s="160"/>
      <c r="AC214" s="160"/>
    </row>
    <row r="215" spans="2:29" ht="12.75" customHeight="1">
      <c r="B215" s="144"/>
      <c r="C215" s="144"/>
      <c r="D215" s="144"/>
      <c r="E215" s="144"/>
      <c r="F215" s="144"/>
      <c r="G215" s="144"/>
      <c r="H215" s="144"/>
      <c r="I215" s="144"/>
      <c r="J215" s="144"/>
      <c r="K215" s="144"/>
      <c r="L215" s="144"/>
      <c r="M215" s="144"/>
      <c r="N215" s="144"/>
      <c r="O215" s="144"/>
      <c r="P215" s="144"/>
      <c r="Q215" s="144"/>
      <c r="R215" s="144"/>
      <c r="S215" s="144"/>
      <c r="T215" s="144"/>
      <c r="U215" s="144"/>
      <c r="V215" s="160"/>
      <c r="W215" s="160"/>
      <c r="X215" s="160"/>
      <c r="Y215" s="160"/>
      <c r="Z215" s="160"/>
      <c r="AA215" s="160"/>
      <c r="AB215" s="160"/>
      <c r="AC215" s="160"/>
    </row>
    <row r="216" spans="2:29" ht="12.75" customHeight="1">
      <c r="B216" s="144"/>
      <c r="C216" s="144"/>
      <c r="D216" s="144"/>
      <c r="E216" s="144"/>
      <c r="F216" s="144"/>
      <c r="G216" s="144"/>
      <c r="H216" s="144"/>
      <c r="I216" s="144"/>
      <c r="J216" s="144"/>
      <c r="K216" s="144"/>
      <c r="L216" s="144"/>
      <c r="M216" s="144"/>
      <c r="N216" s="144"/>
      <c r="O216" s="144"/>
      <c r="P216" s="144"/>
      <c r="Q216" s="144"/>
      <c r="R216" s="144"/>
      <c r="S216" s="144"/>
      <c r="T216" s="144"/>
      <c r="U216" s="144"/>
      <c r="V216" s="160"/>
      <c r="W216" s="160"/>
      <c r="X216" s="160"/>
      <c r="Y216" s="160"/>
      <c r="Z216" s="160"/>
      <c r="AA216" s="160"/>
      <c r="AB216" s="160"/>
      <c r="AC216" s="160"/>
    </row>
    <row r="217" spans="2:29" ht="12.75" customHeight="1">
      <c r="B217" s="144"/>
      <c r="C217" s="144"/>
      <c r="D217" s="144"/>
      <c r="E217" s="144"/>
      <c r="F217" s="144"/>
      <c r="G217" s="144"/>
      <c r="H217" s="144"/>
      <c r="I217" s="144"/>
      <c r="J217" s="144"/>
      <c r="K217" s="144"/>
      <c r="L217" s="144"/>
      <c r="M217" s="144"/>
      <c r="N217" s="144"/>
      <c r="O217" s="144"/>
      <c r="P217" s="144"/>
      <c r="Q217" s="144"/>
      <c r="R217" s="144"/>
      <c r="S217" s="144"/>
      <c r="T217" s="144"/>
      <c r="U217" s="144"/>
      <c r="V217" s="160"/>
      <c r="W217" s="160"/>
      <c r="X217" s="160"/>
      <c r="Y217" s="160"/>
      <c r="Z217" s="160"/>
      <c r="AA217" s="160"/>
      <c r="AB217" s="160"/>
      <c r="AC217" s="160"/>
    </row>
    <row r="218" spans="2:29" ht="12.75" customHeight="1">
      <c r="B218" s="144"/>
      <c r="C218" s="144"/>
      <c r="D218" s="144"/>
      <c r="E218" s="144"/>
      <c r="F218" s="144"/>
      <c r="G218" s="144"/>
      <c r="H218" s="144"/>
      <c r="I218" s="144"/>
      <c r="J218" s="144"/>
      <c r="K218" s="144"/>
      <c r="L218" s="144"/>
      <c r="M218" s="144"/>
      <c r="N218" s="144"/>
      <c r="O218" s="144"/>
      <c r="P218" s="144"/>
      <c r="Q218" s="144"/>
      <c r="R218" s="144"/>
      <c r="S218" s="144"/>
      <c r="T218" s="144"/>
      <c r="U218" s="144"/>
      <c r="V218" s="160"/>
      <c r="W218" s="160"/>
      <c r="X218" s="160"/>
      <c r="Y218" s="160"/>
      <c r="Z218" s="160"/>
      <c r="AA218" s="160"/>
      <c r="AB218" s="160"/>
      <c r="AC218" s="160"/>
    </row>
    <row r="219" spans="2:29" ht="12.75" customHeight="1">
      <c r="B219" s="144"/>
      <c r="C219" s="144"/>
      <c r="D219" s="144"/>
      <c r="E219" s="144"/>
      <c r="F219" s="144"/>
      <c r="G219" s="144"/>
      <c r="H219" s="144"/>
      <c r="I219" s="144"/>
      <c r="J219" s="144"/>
      <c r="K219" s="144"/>
      <c r="L219" s="144"/>
      <c r="M219" s="144"/>
      <c r="N219" s="144"/>
      <c r="O219" s="144"/>
      <c r="P219" s="144"/>
      <c r="Q219" s="144"/>
      <c r="R219" s="144"/>
      <c r="S219" s="144"/>
      <c r="T219" s="144"/>
      <c r="U219" s="144"/>
      <c r="V219" s="160"/>
      <c r="W219" s="160"/>
      <c r="X219" s="160"/>
      <c r="Y219" s="160"/>
      <c r="Z219" s="160"/>
      <c r="AA219" s="160"/>
      <c r="AB219" s="160"/>
      <c r="AC219" s="160"/>
    </row>
    <row r="220" spans="2:29" ht="12.75" customHeight="1">
      <c r="B220" s="144"/>
      <c r="C220" s="144"/>
      <c r="D220" s="144"/>
      <c r="E220" s="144"/>
      <c r="F220" s="144"/>
      <c r="G220" s="144"/>
      <c r="H220" s="144"/>
      <c r="I220" s="144"/>
      <c r="J220" s="144"/>
      <c r="K220" s="144"/>
      <c r="L220" s="144"/>
      <c r="M220" s="144"/>
      <c r="N220" s="144"/>
      <c r="O220" s="144"/>
      <c r="P220" s="144"/>
      <c r="Q220" s="144"/>
      <c r="R220" s="144"/>
      <c r="S220" s="144"/>
      <c r="T220" s="144"/>
      <c r="U220" s="144"/>
      <c r="V220" s="160"/>
      <c r="W220" s="160"/>
      <c r="X220" s="160"/>
      <c r="Y220" s="160"/>
      <c r="Z220" s="160"/>
      <c r="AA220" s="160"/>
      <c r="AB220" s="160"/>
      <c r="AC220" s="160"/>
    </row>
    <row r="221" spans="2:29" ht="12.75" customHeight="1">
      <c r="B221" s="144"/>
      <c r="C221" s="144"/>
      <c r="D221" s="144"/>
      <c r="E221" s="144"/>
      <c r="F221" s="144"/>
      <c r="G221" s="144"/>
      <c r="H221" s="144"/>
      <c r="I221" s="144"/>
      <c r="J221" s="144"/>
      <c r="K221" s="144"/>
      <c r="L221" s="144"/>
      <c r="M221" s="144"/>
      <c r="N221" s="144"/>
      <c r="O221" s="144"/>
      <c r="P221" s="144"/>
      <c r="Q221" s="144"/>
      <c r="R221" s="144"/>
      <c r="S221" s="144"/>
      <c r="T221" s="144"/>
      <c r="U221" s="144"/>
      <c r="V221" s="160"/>
      <c r="W221" s="160"/>
      <c r="X221" s="160"/>
      <c r="Y221" s="160"/>
      <c r="Z221" s="160"/>
      <c r="AA221" s="160"/>
      <c r="AB221" s="160"/>
      <c r="AC221" s="160"/>
    </row>
    <row r="222" spans="2:29" ht="12.75" customHeight="1">
      <c r="B222" s="144"/>
      <c r="C222" s="144"/>
      <c r="D222" s="144"/>
      <c r="E222" s="144"/>
      <c r="F222" s="144"/>
      <c r="G222" s="144"/>
      <c r="H222" s="144"/>
      <c r="I222" s="144"/>
      <c r="J222" s="144"/>
      <c r="K222" s="144"/>
      <c r="L222" s="144"/>
      <c r="M222" s="144"/>
      <c r="N222" s="144"/>
      <c r="O222" s="144"/>
      <c r="P222" s="144"/>
      <c r="Q222" s="144"/>
      <c r="R222" s="144"/>
      <c r="S222" s="144"/>
      <c r="T222" s="144"/>
      <c r="U222" s="144"/>
      <c r="V222" s="160"/>
      <c r="W222" s="160"/>
      <c r="X222" s="160"/>
      <c r="Y222" s="160"/>
      <c r="Z222" s="160"/>
      <c r="AA222" s="160"/>
      <c r="AB222" s="160"/>
      <c r="AC222" s="160"/>
    </row>
    <row r="223" spans="2:29" ht="12.75" customHeight="1">
      <c r="B223" s="144"/>
      <c r="C223" s="144"/>
      <c r="D223" s="144"/>
      <c r="E223" s="144"/>
      <c r="F223" s="144"/>
      <c r="G223" s="144"/>
      <c r="H223" s="144"/>
      <c r="I223" s="144"/>
      <c r="J223" s="144"/>
      <c r="K223" s="144"/>
      <c r="L223" s="144"/>
      <c r="M223" s="144"/>
      <c r="N223" s="144"/>
      <c r="O223" s="144"/>
      <c r="P223" s="144"/>
      <c r="Q223" s="144"/>
      <c r="R223" s="144"/>
      <c r="S223" s="144"/>
      <c r="T223" s="144"/>
      <c r="U223" s="144"/>
      <c r="V223" s="160"/>
      <c r="W223" s="160"/>
      <c r="X223" s="160"/>
      <c r="Y223" s="160"/>
      <c r="Z223" s="160"/>
      <c r="AA223" s="160"/>
      <c r="AB223" s="160"/>
      <c r="AC223" s="160"/>
    </row>
    <row r="224" spans="2:29" ht="12.75" customHeight="1">
      <c r="B224" s="144"/>
      <c r="C224" s="144"/>
      <c r="D224" s="144"/>
      <c r="E224" s="144"/>
      <c r="F224" s="144"/>
      <c r="G224" s="144"/>
      <c r="H224" s="144"/>
      <c r="I224" s="144"/>
      <c r="J224" s="144"/>
      <c r="K224" s="144"/>
      <c r="L224" s="144"/>
      <c r="M224" s="144"/>
      <c r="N224" s="144"/>
      <c r="O224" s="144"/>
      <c r="P224" s="144"/>
      <c r="Q224" s="144"/>
      <c r="R224" s="144"/>
      <c r="S224" s="144"/>
      <c r="T224" s="144"/>
      <c r="U224" s="144"/>
      <c r="V224" s="160"/>
      <c r="W224" s="160"/>
      <c r="X224" s="160"/>
      <c r="Y224" s="160"/>
      <c r="Z224" s="160"/>
      <c r="AA224" s="160"/>
      <c r="AB224" s="160"/>
      <c r="AC224" s="160"/>
    </row>
    <row r="225" spans="2:29" ht="12.75" customHeight="1">
      <c r="B225" s="144"/>
      <c r="C225" s="144"/>
      <c r="D225" s="144"/>
      <c r="E225" s="144"/>
      <c r="F225" s="144"/>
      <c r="G225" s="144"/>
      <c r="H225" s="144"/>
      <c r="I225" s="144"/>
      <c r="J225" s="144"/>
      <c r="K225" s="144"/>
      <c r="L225" s="144"/>
      <c r="M225" s="144"/>
      <c r="N225" s="144"/>
      <c r="O225" s="144"/>
      <c r="P225" s="144"/>
      <c r="Q225" s="144"/>
      <c r="R225" s="144"/>
      <c r="S225" s="144"/>
      <c r="T225" s="144"/>
      <c r="U225" s="144"/>
      <c r="V225" s="160"/>
      <c r="W225" s="160"/>
      <c r="X225" s="160"/>
      <c r="Y225" s="160"/>
      <c r="Z225" s="160"/>
      <c r="AA225" s="160"/>
      <c r="AB225" s="160"/>
      <c r="AC225" s="160"/>
    </row>
    <row r="226" spans="2:29" ht="12.75" customHeight="1">
      <c r="B226" s="144"/>
      <c r="C226" s="144"/>
      <c r="D226" s="144"/>
      <c r="E226" s="144"/>
      <c r="F226" s="144"/>
      <c r="G226" s="144"/>
      <c r="H226" s="144"/>
      <c r="I226" s="144"/>
      <c r="J226" s="144"/>
      <c r="K226" s="144"/>
      <c r="L226" s="144"/>
      <c r="M226" s="144"/>
      <c r="N226" s="144"/>
      <c r="O226" s="144"/>
      <c r="P226" s="144"/>
      <c r="Q226" s="144"/>
      <c r="R226" s="144"/>
      <c r="S226" s="144"/>
      <c r="T226" s="144"/>
      <c r="U226" s="144"/>
      <c r="V226" s="160"/>
      <c r="W226" s="160"/>
      <c r="X226" s="160"/>
      <c r="Y226" s="160"/>
      <c r="Z226" s="160"/>
      <c r="AA226" s="160"/>
      <c r="AB226" s="160"/>
      <c r="AC226" s="160"/>
    </row>
    <row r="227" spans="2:29" ht="12.75" customHeight="1">
      <c r="B227" s="144"/>
      <c r="C227" s="144"/>
      <c r="D227" s="144"/>
      <c r="E227" s="144"/>
      <c r="F227" s="144"/>
      <c r="G227" s="144"/>
      <c r="H227" s="144"/>
      <c r="I227" s="144"/>
      <c r="J227" s="144"/>
      <c r="K227" s="144"/>
      <c r="L227" s="144"/>
      <c r="M227" s="144"/>
      <c r="N227" s="144"/>
      <c r="O227" s="144"/>
      <c r="P227" s="144"/>
      <c r="Q227" s="144"/>
      <c r="R227" s="144"/>
      <c r="S227" s="144"/>
      <c r="T227" s="144"/>
      <c r="U227" s="144"/>
      <c r="V227" s="160"/>
      <c r="W227" s="160"/>
      <c r="X227" s="160"/>
      <c r="Y227" s="160"/>
      <c r="Z227" s="160"/>
      <c r="AA227" s="160"/>
      <c r="AB227" s="160"/>
      <c r="AC227" s="160"/>
    </row>
    <row r="228" spans="2:29" ht="12.75" customHeight="1">
      <c r="B228" s="144"/>
      <c r="C228" s="144"/>
      <c r="D228" s="144"/>
      <c r="E228" s="144"/>
      <c r="F228" s="144"/>
      <c r="G228" s="144"/>
      <c r="H228" s="144"/>
      <c r="I228" s="144"/>
      <c r="J228" s="144"/>
      <c r="K228" s="144"/>
      <c r="L228" s="144"/>
      <c r="M228" s="144"/>
      <c r="N228" s="144"/>
      <c r="O228" s="144"/>
      <c r="P228" s="144"/>
      <c r="Q228" s="144"/>
      <c r="R228" s="144"/>
      <c r="S228" s="144"/>
      <c r="T228" s="144"/>
      <c r="U228" s="144"/>
      <c r="V228" s="160"/>
      <c r="W228" s="160"/>
      <c r="X228" s="160"/>
      <c r="Y228" s="160"/>
      <c r="Z228" s="160"/>
      <c r="AA228" s="160"/>
      <c r="AB228" s="160"/>
      <c r="AC228" s="160"/>
    </row>
    <row r="229" spans="2:29" ht="12.75" customHeight="1">
      <c r="B229" s="144"/>
      <c r="C229" s="144"/>
      <c r="D229" s="144"/>
      <c r="E229" s="144"/>
      <c r="F229" s="144"/>
      <c r="G229" s="144"/>
      <c r="H229" s="144"/>
      <c r="I229" s="144"/>
      <c r="J229" s="144"/>
      <c r="K229" s="144"/>
      <c r="L229" s="144"/>
      <c r="M229" s="144"/>
      <c r="N229" s="144"/>
      <c r="O229" s="144"/>
      <c r="P229" s="144"/>
      <c r="Q229" s="144"/>
      <c r="R229" s="144"/>
      <c r="S229" s="144"/>
      <c r="T229" s="144"/>
      <c r="U229" s="144"/>
      <c r="V229" s="160"/>
      <c r="W229" s="160"/>
      <c r="X229" s="160"/>
      <c r="Y229" s="160"/>
      <c r="Z229" s="160"/>
      <c r="AA229" s="160"/>
      <c r="AB229" s="160"/>
      <c r="AC229" s="160"/>
    </row>
    <row r="230" spans="2:29" ht="12.75" customHeight="1">
      <c r="B230" s="144"/>
      <c r="C230" s="144"/>
      <c r="D230" s="144"/>
      <c r="E230" s="144"/>
      <c r="F230" s="144"/>
      <c r="G230" s="144"/>
      <c r="H230" s="144"/>
      <c r="I230" s="144"/>
      <c r="J230" s="144"/>
      <c r="K230" s="144"/>
      <c r="L230" s="144"/>
      <c r="M230" s="144"/>
      <c r="N230" s="144"/>
      <c r="O230" s="144"/>
      <c r="P230" s="144"/>
      <c r="Q230" s="144"/>
      <c r="R230" s="144"/>
      <c r="S230" s="144"/>
      <c r="T230" s="144"/>
      <c r="U230" s="144"/>
      <c r="V230" s="160"/>
      <c r="W230" s="160"/>
      <c r="X230" s="160"/>
      <c r="Y230" s="160"/>
      <c r="Z230" s="160"/>
      <c r="AA230" s="160"/>
      <c r="AB230" s="160"/>
      <c r="AC230" s="160"/>
    </row>
    <row r="231" spans="2:29" ht="12.75" customHeight="1">
      <c r="B231" s="144"/>
      <c r="C231" s="144"/>
      <c r="D231" s="144"/>
      <c r="E231" s="144"/>
      <c r="F231" s="144"/>
      <c r="G231" s="144"/>
      <c r="H231" s="144"/>
      <c r="I231" s="144"/>
      <c r="J231" s="144"/>
      <c r="K231" s="144"/>
      <c r="L231" s="144"/>
      <c r="M231" s="144"/>
      <c r="N231" s="144"/>
      <c r="O231" s="144"/>
      <c r="P231" s="144"/>
      <c r="Q231" s="144"/>
      <c r="R231" s="144"/>
      <c r="S231" s="144"/>
      <c r="T231" s="144"/>
      <c r="U231" s="144"/>
      <c r="V231" s="160"/>
      <c r="W231" s="160"/>
      <c r="X231" s="160"/>
      <c r="Y231" s="160"/>
      <c r="Z231" s="160"/>
      <c r="AA231" s="160"/>
      <c r="AB231" s="160"/>
      <c r="AC231" s="160"/>
    </row>
    <row r="232" spans="2:29" ht="12.75" customHeight="1">
      <c r="B232" s="144"/>
      <c r="C232" s="144"/>
      <c r="D232" s="144"/>
      <c r="E232" s="144"/>
      <c r="F232" s="144"/>
      <c r="G232" s="144"/>
      <c r="H232" s="144"/>
      <c r="I232" s="144"/>
      <c r="J232" s="144"/>
      <c r="K232" s="144"/>
      <c r="L232" s="144"/>
      <c r="M232" s="144"/>
      <c r="N232" s="144"/>
      <c r="O232" s="144"/>
      <c r="P232" s="144"/>
      <c r="Q232" s="144"/>
      <c r="R232" s="144"/>
      <c r="S232" s="144"/>
      <c r="T232" s="144"/>
      <c r="U232" s="144"/>
      <c r="V232" s="160"/>
      <c r="W232" s="160"/>
      <c r="X232" s="160"/>
      <c r="Y232" s="160"/>
      <c r="Z232" s="160"/>
      <c r="AA232" s="160"/>
      <c r="AB232" s="160"/>
      <c r="AC232" s="160"/>
    </row>
    <row r="233" spans="2:29" ht="12.75" customHeight="1">
      <c r="B233" s="144"/>
      <c r="C233" s="144"/>
      <c r="D233" s="144"/>
      <c r="E233" s="144"/>
      <c r="F233" s="144"/>
      <c r="G233" s="144"/>
      <c r="H233" s="144"/>
      <c r="I233" s="144"/>
      <c r="J233" s="144"/>
      <c r="K233" s="144"/>
      <c r="L233" s="144"/>
      <c r="M233" s="144"/>
      <c r="N233" s="144"/>
      <c r="O233" s="144"/>
      <c r="P233" s="144"/>
      <c r="Q233" s="144"/>
      <c r="R233" s="144"/>
      <c r="S233" s="144"/>
      <c r="T233" s="144"/>
      <c r="U233" s="144"/>
      <c r="V233" s="160"/>
      <c r="W233" s="160"/>
      <c r="X233" s="160"/>
      <c r="Y233" s="160"/>
      <c r="Z233" s="160"/>
      <c r="AA233" s="160"/>
      <c r="AB233" s="160"/>
      <c r="AC233" s="160"/>
    </row>
    <row r="234" spans="2:29" ht="12.75" customHeight="1">
      <c r="B234" s="144"/>
      <c r="C234" s="144"/>
      <c r="D234" s="144"/>
      <c r="E234" s="144"/>
      <c r="F234" s="144"/>
      <c r="G234" s="144"/>
      <c r="H234" s="144"/>
      <c r="I234" s="144"/>
      <c r="J234" s="144"/>
      <c r="K234" s="144"/>
      <c r="L234" s="144"/>
      <c r="M234" s="144"/>
      <c r="N234" s="144"/>
      <c r="O234" s="144"/>
      <c r="P234" s="144"/>
      <c r="Q234" s="144"/>
      <c r="R234" s="144"/>
      <c r="S234" s="144"/>
      <c r="T234" s="144"/>
      <c r="U234" s="144"/>
      <c r="V234" s="160"/>
      <c r="W234" s="160"/>
      <c r="X234" s="160"/>
      <c r="Y234" s="160"/>
      <c r="Z234" s="160"/>
      <c r="AA234" s="160"/>
      <c r="AB234" s="160"/>
      <c r="AC234" s="160"/>
    </row>
    <row r="235" spans="2:29" ht="12.75" customHeight="1">
      <c r="B235" s="144"/>
      <c r="C235" s="144"/>
      <c r="D235" s="144"/>
      <c r="E235" s="144"/>
      <c r="F235" s="144"/>
      <c r="G235" s="144"/>
      <c r="H235" s="144"/>
      <c r="I235" s="144"/>
      <c r="J235" s="144"/>
      <c r="K235" s="144"/>
      <c r="L235" s="144"/>
      <c r="M235" s="144"/>
      <c r="N235" s="144"/>
      <c r="O235" s="144"/>
      <c r="P235" s="144"/>
      <c r="Q235" s="144"/>
      <c r="R235" s="144"/>
      <c r="S235" s="144"/>
      <c r="T235" s="144"/>
      <c r="U235" s="144"/>
      <c r="V235" s="160"/>
      <c r="W235" s="160"/>
      <c r="X235" s="160"/>
      <c r="Y235" s="160"/>
      <c r="Z235" s="160"/>
      <c r="AA235" s="160"/>
      <c r="AB235" s="160"/>
      <c r="AC235" s="160"/>
    </row>
    <row r="236" spans="2:29" ht="12.75" customHeight="1">
      <c r="B236" s="144"/>
      <c r="C236" s="144"/>
      <c r="D236" s="144"/>
      <c r="E236" s="144"/>
      <c r="F236" s="144"/>
      <c r="G236" s="144"/>
      <c r="H236" s="144"/>
      <c r="I236" s="144"/>
      <c r="J236" s="144"/>
      <c r="K236" s="144"/>
      <c r="L236" s="144"/>
      <c r="M236" s="144"/>
      <c r="N236" s="144"/>
      <c r="O236" s="144"/>
      <c r="P236" s="144"/>
      <c r="Q236" s="144"/>
      <c r="R236" s="144"/>
      <c r="S236" s="144"/>
      <c r="T236" s="144"/>
      <c r="U236" s="144"/>
      <c r="V236" s="160"/>
      <c r="W236" s="160"/>
      <c r="X236" s="160"/>
      <c r="Y236" s="160"/>
      <c r="Z236" s="160"/>
      <c r="AA236" s="160"/>
      <c r="AB236" s="160"/>
      <c r="AC236" s="160"/>
    </row>
    <row r="237" spans="2:29" ht="12.75" customHeight="1">
      <c r="B237" s="144"/>
      <c r="C237" s="144"/>
      <c r="D237" s="144"/>
      <c r="E237" s="144"/>
      <c r="F237" s="144"/>
      <c r="G237" s="144"/>
      <c r="H237" s="144"/>
      <c r="I237" s="144"/>
      <c r="J237" s="144"/>
      <c r="K237" s="144"/>
      <c r="L237" s="144"/>
      <c r="M237" s="144"/>
      <c r="N237" s="144"/>
      <c r="O237" s="144"/>
      <c r="P237" s="144"/>
      <c r="Q237" s="144"/>
      <c r="R237" s="144"/>
      <c r="S237" s="144"/>
      <c r="T237" s="144"/>
      <c r="U237" s="144"/>
      <c r="V237" s="160"/>
      <c r="W237" s="160"/>
      <c r="X237" s="160"/>
      <c r="Y237" s="160"/>
      <c r="Z237" s="160"/>
      <c r="AA237" s="160"/>
      <c r="AB237" s="160"/>
      <c r="AC237" s="160"/>
    </row>
    <row r="238" spans="2:29" ht="12.75" customHeight="1">
      <c r="B238" s="144"/>
      <c r="C238" s="144"/>
      <c r="D238" s="144"/>
      <c r="E238" s="144"/>
      <c r="F238" s="144"/>
      <c r="G238" s="144"/>
      <c r="H238" s="144"/>
      <c r="I238" s="144"/>
      <c r="J238" s="144"/>
      <c r="K238" s="144"/>
      <c r="L238" s="144"/>
      <c r="M238" s="144"/>
      <c r="N238" s="144"/>
      <c r="O238" s="144"/>
      <c r="P238" s="144"/>
      <c r="Q238" s="144"/>
      <c r="R238" s="144"/>
      <c r="S238" s="144"/>
      <c r="T238" s="144"/>
      <c r="U238" s="144"/>
      <c r="V238" s="160"/>
      <c r="W238" s="160"/>
      <c r="X238" s="160"/>
      <c r="Y238" s="160"/>
      <c r="Z238" s="160"/>
      <c r="AA238" s="160"/>
      <c r="AB238" s="160"/>
      <c r="AC238" s="160"/>
    </row>
    <row r="239" spans="2:29" ht="12.75" customHeight="1">
      <c r="B239" s="144"/>
      <c r="C239" s="144"/>
      <c r="D239" s="144"/>
      <c r="E239" s="144"/>
      <c r="F239" s="144"/>
      <c r="G239" s="144"/>
      <c r="H239" s="144"/>
      <c r="I239" s="144"/>
      <c r="J239" s="144"/>
      <c r="K239" s="144"/>
      <c r="L239" s="144"/>
      <c r="M239" s="144"/>
      <c r="N239" s="144"/>
      <c r="O239" s="144"/>
      <c r="P239" s="144"/>
      <c r="Q239" s="144"/>
      <c r="R239" s="144"/>
      <c r="S239" s="144"/>
      <c r="T239" s="144"/>
      <c r="U239" s="144"/>
      <c r="V239" s="160"/>
      <c r="W239" s="160"/>
      <c r="X239" s="160"/>
      <c r="Y239" s="160"/>
      <c r="Z239" s="160"/>
      <c r="AA239" s="160"/>
      <c r="AB239" s="160"/>
      <c r="AC239" s="160"/>
    </row>
    <row r="240" spans="2:29" ht="12.75" customHeight="1">
      <c r="B240" s="144"/>
      <c r="C240" s="144"/>
      <c r="D240" s="144"/>
      <c r="E240" s="144"/>
      <c r="F240" s="144"/>
      <c r="G240" s="144"/>
      <c r="H240" s="144"/>
      <c r="I240" s="144"/>
      <c r="J240" s="144"/>
      <c r="K240" s="144"/>
      <c r="L240" s="144"/>
      <c r="M240" s="144"/>
      <c r="N240" s="144"/>
      <c r="O240" s="144"/>
      <c r="P240" s="144"/>
      <c r="Q240" s="144"/>
      <c r="R240" s="144"/>
      <c r="S240" s="144"/>
      <c r="T240" s="144"/>
      <c r="U240" s="144"/>
      <c r="V240" s="160"/>
      <c r="W240" s="160"/>
      <c r="X240" s="160"/>
      <c r="Y240" s="160"/>
      <c r="Z240" s="160"/>
      <c r="AA240" s="160"/>
      <c r="AB240" s="160"/>
      <c r="AC240" s="160"/>
    </row>
    <row r="241" spans="2:29" ht="12.75" customHeight="1">
      <c r="B241" s="144"/>
      <c r="C241" s="144"/>
      <c r="D241" s="144"/>
      <c r="E241" s="144"/>
      <c r="F241" s="144"/>
      <c r="G241" s="144"/>
      <c r="H241" s="144"/>
      <c r="I241" s="144"/>
      <c r="J241" s="144"/>
      <c r="K241" s="144"/>
      <c r="L241" s="144"/>
      <c r="M241" s="144"/>
      <c r="N241" s="144"/>
      <c r="O241" s="144"/>
      <c r="P241" s="144"/>
      <c r="Q241" s="144"/>
      <c r="R241" s="144"/>
      <c r="S241" s="144"/>
      <c r="T241" s="144"/>
      <c r="U241" s="144"/>
      <c r="V241" s="160"/>
      <c r="W241" s="160"/>
      <c r="X241" s="160"/>
      <c r="Y241" s="160"/>
      <c r="Z241" s="160"/>
      <c r="AA241" s="160"/>
      <c r="AB241" s="160"/>
      <c r="AC241" s="160"/>
    </row>
    <row r="242" spans="2:29" ht="12.75" customHeight="1">
      <c r="B242" s="144"/>
      <c r="C242" s="144"/>
      <c r="D242" s="144"/>
      <c r="E242" s="144"/>
      <c r="F242" s="144"/>
      <c r="G242" s="144"/>
      <c r="H242" s="144"/>
      <c r="I242" s="144"/>
      <c r="J242" s="144"/>
      <c r="K242" s="144"/>
      <c r="L242" s="144"/>
      <c r="M242" s="144"/>
      <c r="N242" s="144"/>
      <c r="O242" s="144"/>
      <c r="P242" s="144"/>
      <c r="Q242" s="144"/>
      <c r="R242" s="144"/>
      <c r="S242" s="144"/>
      <c r="T242" s="144"/>
      <c r="U242" s="144"/>
      <c r="V242" s="160"/>
      <c r="W242" s="160"/>
      <c r="X242" s="160"/>
      <c r="Y242" s="160"/>
      <c r="Z242" s="160"/>
      <c r="AA242" s="160"/>
      <c r="AB242" s="160"/>
      <c r="AC242" s="160"/>
    </row>
    <row r="243" spans="2:29" ht="12.75" customHeight="1">
      <c r="B243" s="144"/>
      <c r="C243" s="144"/>
      <c r="D243" s="144"/>
      <c r="E243" s="144"/>
      <c r="F243" s="144"/>
      <c r="G243" s="144"/>
      <c r="H243" s="144"/>
      <c r="I243" s="144"/>
      <c r="J243" s="144"/>
      <c r="K243" s="144"/>
      <c r="L243" s="144"/>
      <c r="M243" s="144"/>
      <c r="N243" s="144"/>
      <c r="O243" s="144"/>
      <c r="P243" s="144"/>
      <c r="Q243" s="144"/>
      <c r="R243" s="144"/>
      <c r="S243" s="144"/>
      <c r="T243" s="144"/>
      <c r="U243" s="144"/>
      <c r="V243" s="160"/>
      <c r="W243" s="160"/>
      <c r="X243" s="160"/>
      <c r="Y243" s="160"/>
      <c r="Z243" s="160"/>
      <c r="AA243" s="160"/>
      <c r="AB243" s="160"/>
      <c r="AC243" s="160"/>
    </row>
    <row r="244" spans="2:29" ht="12.75" customHeight="1">
      <c r="B244" s="144"/>
      <c r="C244" s="144"/>
      <c r="D244" s="144"/>
      <c r="E244" s="144"/>
      <c r="F244" s="144"/>
      <c r="G244" s="144"/>
      <c r="H244" s="144"/>
      <c r="I244" s="144"/>
      <c r="J244" s="144"/>
      <c r="K244" s="144"/>
      <c r="L244" s="144"/>
      <c r="M244" s="144"/>
      <c r="N244" s="144"/>
      <c r="O244" s="144"/>
      <c r="P244" s="144"/>
      <c r="Q244" s="144"/>
      <c r="R244" s="144"/>
      <c r="S244" s="144"/>
      <c r="T244" s="144"/>
      <c r="U244" s="144"/>
      <c r="V244" s="160"/>
      <c r="W244" s="160"/>
      <c r="X244" s="160"/>
      <c r="Y244" s="160"/>
      <c r="Z244" s="160"/>
      <c r="AA244" s="160"/>
      <c r="AB244" s="160"/>
      <c r="AC244" s="160"/>
    </row>
    <row r="245" spans="2:29" ht="12.75" customHeight="1">
      <c r="B245" s="144"/>
      <c r="C245" s="144"/>
      <c r="D245" s="144"/>
      <c r="E245" s="144"/>
      <c r="F245" s="144"/>
      <c r="G245" s="144"/>
      <c r="H245" s="144"/>
      <c r="I245" s="144"/>
      <c r="J245" s="144"/>
      <c r="K245" s="144"/>
      <c r="L245" s="144"/>
      <c r="M245" s="144"/>
      <c r="N245" s="144"/>
      <c r="O245" s="144"/>
      <c r="P245" s="144"/>
      <c r="Q245" s="144"/>
      <c r="R245" s="144"/>
      <c r="S245" s="144"/>
      <c r="T245" s="144"/>
      <c r="U245" s="144"/>
      <c r="V245" s="160"/>
      <c r="W245" s="160"/>
      <c r="X245" s="160"/>
      <c r="Y245" s="160"/>
      <c r="Z245" s="160"/>
      <c r="AA245" s="160"/>
      <c r="AB245" s="160"/>
      <c r="AC245" s="160"/>
    </row>
    <row r="246" spans="2:29" ht="12.75" customHeight="1">
      <c r="B246" s="144"/>
      <c r="C246" s="144"/>
      <c r="D246" s="144"/>
      <c r="E246" s="144"/>
      <c r="F246" s="144"/>
      <c r="G246" s="144"/>
      <c r="H246" s="144"/>
      <c r="I246" s="144"/>
      <c r="J246" s="144"/>
      <c r="K246" s="144"/>
      <c r="L246" s="144"/>
      <c r="M246" s="144"/>
      <c r="N246" s="144"/>
      <c r="O246" s="144"/>
      <c r="P246" s="144"/>
      <c r="Q246" s="144"/>
      <c r="R246" s="144"/>
      <c r="S246" s="144"/>
      <c r="T246" s="144"/>
      <c r="U246" s="144"/>
      <c r="V246" s="160"/>
      <c r="W246" s="160"/>
      <c r="X246" s="160"/>
      <c r="Y246" s="160"/>
      <c r="Z246" s="160"/>
      <c r="AA246" s="160"/>
      <c r="AB246" s="160"/>
      <c r="AC246" s="160"/>
    </row>
    <row r="247" spans="2:29" ht="12.75" customHeight="1">
      <c r="B247" s="144"/>
      <c r="C247" s="144"/>
      <c r="D247" s="144"/>
      <c r="E247" s="144"/>
      <c r="F247" s="144"/>
      <c r="G247" s="144"/>
      <c r="H247" s="144"/>
      <c r="I247" s="144"/>
      <c r="J247" s="144"/>
      <c r="K247" s="144"/>
      <c r="L247" s="144"/>
      <c r="M247" s="144"/>
      <c r="N247" s="144"/>
      <c r="O247" s="144"/>
      <c r="P247" s="144"/>
      <c r="Q247" s="144"/>
      <c r="R247" s="144"/>
      <c r="S247" s="144"/>
      <c r="T247" s="144"/>
      <c r="U247" s="144"/>
      <c r="V247" s="160"/>
      <c r="W247" s="160"/>
      <c r="X247" s="160"/>
      <c r="Y247" s="160"/>
      <c r="Z247" s="160"/>
      <c r="AA247" s="160"/>
      <c r="AB247" s="160"/>
      <c r="AC247" s="160"/>
    </row>
    <row r="248" spans="2:29" ht="12.75" customHeight="1">
      <c r="B248" s="144"/>
      <c r="C248" s="144"/>
      <c r="D248" s="144"/>
      <c r="E248" s="144"/>
      <c r="F248" s="144"/>
      <c r="G248" s="144"/>
      <c r="H248" s="144"/>
      <c r="I248" s="144"/>
      <c r="J248" s="144"/>
      <c r="K248" s="144"/>
      <c r="L248" s="144"/>
      <c r="M248" s="144"/>
      <c r="N248" s="144"/>
      <c r="O248" s="144"/>
      <c r="P248" s="144"/>
      <c r="Q248" s="144"/>
      <c r="R248" s="144"/>
      <c r="S248" s="144"/>
      <c r="T248" s="144"/>
      <c r="U248" s="144"/>
      <c r="V248" s="160"/>
      <c r="W248" s="160"/>
      <c r="X248" s="160"/>
      <c r="Y248" s="160"/>
      <c r="Z248" s="160"/>
      <c r="AA248" s="160"/>
      <c r="AB248" s="160"/>
      <c r="AC248" s="160"/>
    </row>
    <row r="249" spans="2:29" ht="12.75" customHeight="1">
      <c r="B249" s="144"/>
      <c r="C249" s="144"/>
      <c r="D249" s="144"/>
      <c r="E249" s="144"/>
      <c r="F249" s="144"/>
      <c r="G249" s="144"/>
      <c r="H249" s="144"/>
      <c r="I249" s="144"/>
      <c r="J249" s="144"/>
      <c r="K249" s="144"/>
      <c r="L249" s="144"/>
      <c r="M249" s="144"/>
      <c r="N249" s="144"/>
      <c r="O249" s="144"/>
      <c r="P249" s="144"/>
      <c r="Q249" s="144"/>
      <c r="R249" s="144"/>
      <c r="S249" s="144"/>
      <c r="T249" s="144"/>
      <c r="U249" s="144"/>
      <c r="V249" s="160"/>
      <c r="W249" s="160"/>
      <c r="X249" s="160"/>
      <c r="Y249" s="160"/>
      <c r="Z249" s="160"/>
      <c r="AA249" s="160"/>
      <c r="AB249" s="160"/>
      <c r="AC249" s="160"/>
    </row>
    <row r="250" spans="2:29" ht="12.75" customHeight="1">
      <c r="B250" s="144"/>
      <c r="C250" s="144"/>
      <c r="D250" s="144"/>
      <c r="E250" s="144"/>
      <c r="F250" s="144"/>
      <c r="G250" s="144"/>
      <c r="H250" s="144"/>
      <c r="I250" s="144"/>
      <c r="J250" s="144"/>
      <c r="K250" s="144"/>
      <c r="L250" s="144"/>
      <c r="M250" s="144"/>
      <c r="N250" s="144"/>
      <c r="O250" s="144"/>
      <c r="P250" s="144"/>
      <c r="Q250" s="144"/>
      <c r="R250" s="144"/>
      <c r="S250" s="144"/>
      <c r="T250" s="144"/>
      <c r="U250" s="144"/>
      <c r="V250" s="160"/>
      <c r="W250" s="160"/>
      <c r="X250" s="160"/>
      <c r="Y250" s="160"/>
      <c r="Z250" s="160"/>
      <c r="AA250" s="160"/>
      <c r="AB250" s="160"/>
      <c r="AC250" s="160"/>
    </row>
    <row r="251" spans="2:29" ht="12.75" customHeight="1">
      <c r="B251" s="144"/>
      <c r="C251" s="144"/>
      <c r="D251" s="144"/>
      <c r="E251" s="144"/>
      <c r="F251" s="144"/>
      <c r="G251" s="144"/>
      <c r="H251" s="144"/>
      <c r="I251" s="144"/>
      <c r="J251" s="144"/>
      <c r="K251" s="144"/>
      <c r="L251" s="144"/>
      <c r="M251" s="144"/>
      <c r="N251" s="144"/>
      <c r="O251" s="144"/>
      <c r="P251" s="144"/>
      <c r="Q251" s="144"/>
      <c r="R251" s="144"/>
      <c r="S251" s="144"/>
      <c r="T251" s="144"/>
      <c r="U251" s="144"/>
      <c r="V251" s="160"/>
      <c r="W251" s="160"/>
      <c r="X251" s="160"/>
      <c r="Y251" s="160"/>
      <c r="Z251" s="160"/>
      <c r="AA251" s="160"/>
      <c r="AB251" s="160"/>
      <c r="AC251" s="160"/>
    </row>
    <row r="252" spans="2:29" ht="12.75" customHeight="1">
      <c r="B252" s="144"/>
      <c r="C252" s="144"/>
      <c r="D252" s="144"/>
      <c r="E252" s="144"/>
      <c r="F252" s="144"/>
      <c r="G252" s="144"/>
      <c r="H252" s="144"/>
      <c r="I252" s="144"/>
      <c r="J252" s="144"/>
      <c r="K252" s="144"/>
      <c r="L252" s="144"/>
      <c r="M252" s="144"/>
      <c r="N252" s="144"/>
      <c r="O252" s="144"/>
      <c r="P252" s="144"/>
      <c r="Q252" s="144"/>
      <c r="R252" s="144"/>
      <c r="S252" s="144"/>
      <c r="T252" s="144"/>
      <c r="U252" s="144"/>
      <c r="V252" s="160"/>
      <c r="W252" s="160"/>
      <c r="X252" s="160"/>
      <c r="Y252" s="160"/>
      <c r="Z252" s="160"/>
      <c r="AA252" s="160"/>
      <c r="AB252" s="160"/>
      <c r="AC252" s="160"/>
    </row>
    <row r="253" spans="2:29" ht="12.75" customHeight="1">
      <c r="B253" s="144"/>
      <c r="C253" s="144"/>
      <c r="D253" s="144"/>
      <c r="E253" s="144"/>
      <c r="F253" s="144"/>
      <c r="G253" s="144"/>
      <c r="H253" s="144"/>
      <c r="I253" s="144"/>
      <c r="J253" s="144"/>
      <c r="K253" s="144"/>
      <c r="L253" s="144"/>
      <c r="M253" s="144"/>
      <c r="N253" s="144"/>
      <c r="O253" s="144"/>
      <c r="P253" s="144"/>
      <c r="Q253" s="144"/>
      <c r="R253" s="144"/>
      <c r="S253" s="144"/>
      <c r="T253" s="144"/>
      <c r="U253" s="144"/>
      <c r="V253" s="160"/>
      <c r="W253" s="160"/>
      <c r="X253" s="160"/>
      <c r="Y253" s="160"/>
      <c r="Z253" s="160"/>
      <c r="AA253" s="160"/>
      <c r="AB253" s="160"/>
      <c r="AC253" s="160"/>
    </row>
    <row r="254" spans="2:29" ht="12.75" customHeight="1">
      <c r="B254" s="144"/>
      <c r="C254" s="144"/>
      <c r="D254" s="144"/>
      <c r="E254" s="144"/>
      <c r="F254" s="144"/>
      <c r="G254" s="144"/>
      <c r="H254" s="144"/>
      <c r="I254" s="144"/>
      <c r="J254" s="144"/>
      <c r="K254" s="144"/>
      <c r="L254" s="144"/>
      <c r="M254" s="144"/>
      <c r="N254" s="144"/>
      <c r="O254" s="144"/>
      <c r="P254" s="144"/>
      <c r="Q254" s="144"/>
      <c r="R254" s="144"/>
      <c r="S254" s="144"/>
      <c r="T254" s="144"/>
      <c r="U254" s="144"/>
      <c r="V254" s="160"/>
      <c r="W254" s="160"/>
      <c r="X254" s="160"/>
      <c r="Y254" s="160"/>
      <c r="Z254" s="160"/>
      <c r="AA254" s="160"/>
      <c r="AB254" s="160"/>
      <c r="AC254" s="160"/>
    </row>
    <row r="255" spans="2:29" ht="12.75" customHeight="1">
      <c r="B255" s="144"/>
      <c r="C255" s="144"/>
      <c r="D255" s="144"/>
      <c r="E255" s="144"/>
      <c r="F255" s="144"/>
      <c r="G255" s="144"/>
      <c r="H255" s="144"/>
      <c r="I255" s="144"/>
      <c r="J255" s="144"/>
      <c r="K255" s="144"/>
      <c r="L255" s="144"/>
      <c r="M255" s="144"/>
      <c r="N255" s="144"/>
      <c r="O255" s="144"/>
      <c r="P255" s="144"/>
      <c r="Q255" s="144"/>
      <c r="R255" s="144"/>
      <c r="S255" s="144"/>
      <c r="T255" s="144"/>
      <c r="U255" s="144"/>
      <c r="V255" s="160"/>
      <c r="W255" s="160"/>
      <c r="X255" s="160"/>
      <c r="Y255" s="160"/>
      <c r="Z255" s="160"/>
      <c r="AA255" s="160"/>
      <c r="AB255" s="160"/>
      <c r="AC255" s="160"/>
    </row>
    <row r="256" spans="2:29" ht="12.75" customHeight="1">
      <c r="B256" s="144"/>
      <c r="C256" s="144"/>
      <c r="D256" s="144"/>
      <c r="E256" s="144"/>
      <c r="F256" s="144"/>
      <c r="G256" s="144"/>
      <c r="H256" s="144"/>
      <c r="I256" s="144"/>
      <c r="J256" s="144"/>
      <c r="K256" s="144"/>
      <c r="L256" s="144"/>
      <c r="M256" s="144"/>
      <c r="N256" s="144"/>
      <c r="O256" s="144"/>
      <c r="P256" s="144"/>
      <c r="Q256" s="144"/>
      <c r="R256" s="144"/>
      <c r="S256" s="144"/>
      <c r="T256" s="144"/>
      <c r="U256" s="144"/>
      <c r="V256" s="160"/>
      <c r="W256" s="160"/>
      <c r="X256" s="160"/>
      <c r="Y256" s="160"/>
      <c r="Z256" s="160"/>
      <c r="AA256" s="160"/>
      <c r="AB256" s="160"/>
      <c r="AC256" s="160"/>
    </row>
    <row r="257" spans="2:29" ht="12.75" customHeight="1">
      <c r="B257" s="144"/>
      <c r="C257" s="144"/>
      <c r="D257" s="144"/>
      <c r="E257" s="144"/>
      <c r="F257" s="144"/>
      <c r="G257" s="144"/>
      <c r="H257" s="144"/>
      <c r="I257" s="144"/>
      <c r="J257" s="144"/>
      <c r="K257" s="144"/>
      <c r="L257" s="144"/>
      <c r="M257" s="144"/>
      <c r="N257" s="144"/>
      <c r="O257" s="144"/>
      <c r="P257" s="144"/>
      <c r="Q257" s="144"/>
      <c r="R257" s="144"/>
      <c r="S257" s="144"/>
      <c r="T257" s="144"/>
      <c r="U257" s="144"/>
      <c r="V257" s="160"/>
      <c r="W257" s="160"/>
      <c r="X257" s="160"/>
      <c r="Y257" s="160"/>
      <c r="Z257" s="160"/>
      <c r="AA257" s="160"/>
      <c r="AB257" s="160"/>
      <c r="AC257" s="160"/>
    </row>
    <row r="258" spans="2:29" ht="12.75" customHeight="1">
      <c r="B258" s="144"/>
      <c r="C258" s="144"/>
      <c r="D258" s="144"/>
      <c r="E258" s="144"/>
      <c r="F258" s="144"/>
      <c r="G258" s="144"/>
      <c r="H258" s="144"/>
      <c r="I258" s="144"/>
      <c r="J258" s="144"/>
      <c r="K258" s="144"/>
      <c r="L258" s="144"/>
      <c r="M258" s="144"/>
      <c r="N258" s="144"/>
      <c r="O258" s="144"/>
      <c r="P258" s="144"/>
      <c r="Q258" s="144"/>
      <c r="R258" s="144"/>
      <c r="S258" s="144"/>
      <c r="T258" s="144"/>
      <c r="U258" s="144"/>
      <c r="V258" s="160"/>
      <c r="W258" s="160"/>
      <c r="X258" s="160"/>
      <c r="Y258" s="160"/>
      <c r="Z258" s="160"/>
      <c r="AA258" s="160"/>
      <c r="AB258" s="160"/>
      <c r="AC258" s="160"/>
    </row>
    <row r="259" spans="2:29" ht="12.75" customHeight="1">
      <c r="B259" s="144"/>
      <c r="C259" s="144"/>
      <c r="D259" s="144"/>
      <c r="E259" s="144"/>
      <c r="F259" s="144"/>
      <c r="G259" s="144"/>
      <c r="H259" s="144"/>
      <c r="I259" s="144"/>
      <c r="J259" s="144"/>
      <c r="K259" s="144"/>
      <c r="L259" s="144"/>
      <c r="M259" s="144"/>
      <c r="N259" s="144"/>
      <c r="O259" s="144"/>
      <c r="P259" s="144"/>
      <c r="Q259" s="144"/>
      <c r="R259" s="144"/>
      <c r="S259" s="144"/>
      <c r="T259" s="144"/>
      <c r="U259" s="144"/>
      <c r="V259" s="160"/>
      <c r="W259" s="160"/>
      <c r="X259" s="160"/>
      <c r="Y259" s="160"/>
      <c r="Z259" s="160"/>
      <c r="AA259" s="160"/>
      <c r="AB259" s="160"/>
      <c r="AC259" s="160"/>
    </row>
    <row r="260" spans="2:29" ht="12.75" customHeight="1">
      <c r="B260" s="144"/>
      <c r="C260" s="144"/>
      <c r="D260" s="144"/>
      <c r="E260" s="144"/>
      <c r="F260" s="144"/>
      <c r="G260" s="144"/>
      <c r="H260" s="144"/>
      <c r="I260" s="144"/>
      <c r="J260" s="144"/>
      <c r="K260" s="144"/>
      <c r="L260" s="144"/>
      <c r="M260" s="144"/>
      <c r="N260" s="144"/>
      <c r="O260" s="144"/>
      <c r="P260" s="144"/>
      <c r="Q260" s="144"/>
      <c r="R260" s="144"/>
      <c r="S260" s="144"/>
      <c r="T260" s="144"/>
      <c r="U260" s="144"/>
      <c r="V260" s="160"/>
      <c r="W260" s="160"/>
      <c r="X260" s="160"/>
      <c r="Y260" s="160"/>
      <c r="Z260" s="160"/>
      <c r="AA260" s="160"/>
      <c r="AB260" s="160"/>
      <c r="AC260" s="160"/>
    </row>
    <row r="261" spans="2:29" ht="12.75" customHeight="1">
      <c r="B261" s="144"/>
      <c r="C261" s="144"/>
      <c r="D261" s="144"/>
      <c r="E261" s="144"/>
      <c r="F261" s="144"/>
      <c r="G261" s="144"/>
      <c r="H261" s="144"/>
      <c r="I261" s="144"/>
      <c r="J261" s="144"/>
      <c r="K261" s="144"/>
      <c r="L261" s="144"/>
      <c r="M261" s="144"/>
      <c r="N261" s="144"/>
      <c r="O261" s="144"/>
      <c r="P261" s="144"/>
      <c r="Q261" s="144"/>
      <c r="R261" s="144"/>
      <c r="S261" s="144"/>
      <c r="T261" s="144"/>
      <c r="U261" s="144"/>
      <c r="V261" s="160"/>
      <c r="W261" s="160"/>
      <c r="X261" s="160"/>
      <c r="Y261" s="160"/>
      <c r="Z261" s="160"/>
      <c r="AA261" s="160"/>
      <c r="AB261" s="160"/>
      <c r="AC261" s="160"/>
    </row>
    <row r="262" spans="2:29" ht="12.75" customHeight="1">
      <c r="B262" s="144"/>
      <c r="C262" s="144"/>
      <c r="D262" s="144"/>
      <c r="E262" s="144"/>
      <c r="F262" s="144"/>
      <c r="G262" s="144"/>
      <c r="H262" s="144"/>
      <c r="I262" s="144"/>
      <c r="J262" s="144"/>
      <c r="K262" s="144"/>
      <c r="L262" s="144"/>
      <c r="M262" s="144"/>
      <c r="N262" s="144"/>
      <c r="O262" s="144"/>
      <c r="P262" s="144"/>
      <c r="Q262" s="144"/>
      <c r="R262" s="144"/>
      <c r="S262" s="144"/>
      <c r="T262" s="144"/>
      <c r="U262" s="144"/>
      <c r="V262" s="160"/>
      <c r="W262" s="160"/>
      <c r="X262" s="160"/>
      <c r="Y262" s="160"/>
      <c r="Z262" s="160"/>
      <c r="AA262" s="160"/>
      <c r="AB262" s="160"/>
      <c r="AC262" s="160"/>
    </row>
    <row r="263" spans="2:29" ht="12.75" customHeight="1">
      <c r="B263" s="144"/>
      <c r="C263" s="144"/>
      <c r="D263" s="144"/>
      <c r="E263" s="144"/>
      <c r="F263" s="144"/>
      <c r="G263" s="144"/>
      <c r="H263" s="144"/>
      <c r="I263" s="144"/>
      <c r="J263" s="144"/>
      <c r="K263" s="144"/>
      <c r="L263" s="144"/>
      <c r="M263" s="144"/>
      <c r="N263" s="144"/>
      <c r="O263" s="144"/>
      <c r="P263" s="144"/>
      <c r="Q263" s="144"/>
      <c r="R263" s="144"/>
      <c r="S263" s="144"/>
      <c r="T263" s="144"/>
      <c r="U263" s="144"/>
      <c r="V263" s="160"/>
      <c r="W263" s="160"/>
      <c r="X263" s="160"/>
      <c r="Y263" s="160"/>
      <c r="Z263" s="160"/>
      <c r="AA263" s="160"/>
      <c r="AB263" s="160"/>
      <c r="AC263" s="160"/>
    </row>
    <row r="264" spans="2:29" ht="12.75" customHeight="1">
      <c r="B264" s="144"/>
      <c r="C264" s="144"/>
      <c r="D264" s="144"/>
      <c r="E264" s="144"/>
      <c r="F264" s="144"/>
      <c r="G264" s="144"/>
      <c r="H264" s="144"/>
      <c r="I264" s="144"/>
      <c r="J264" s="144"/>
      <c r="K264" s="144"/>
      <c r="L264" s="144"/>
      <c r="M264" s="144"/>
      <c r="N264" s="144"/>
      <c r="O264" s="144"/>
      <c r="P264" s="144"/>
      <c r="Q264" s="144"/>
      <c r="R264" s="144"/>
      <c r="S264" s="144"/>
      <c r="T264" s="144"/>
      <c r="U264" s="144"/>
      <c r="V264" s="160"/>
      <c r="W264" s="160"/>
      <c r="X264" s="160"/>
      <c r="Y264" s="160"/>
      <c r="Z264" s="160"/>
      <c r="AA264" s="160"/>
      <c r="AB264" s="160"/>
      <c r="AC264" s="160"/>
    </row>
    <row r="265" spans="2:29" ht="12.75" customHeight="1">
      <c r="B265" s="144"/>
      <c r="C265" s="144"/>
      <c r="D265" s="144"/>
      <c r="E265" s="144"/>
      <c r="F265" s="144"/>
      <c r="G265" s="144"/>
      <c r="H265" s="144"/>
      <c r="I265" s="144"/>
      <c r="J265" s="144"/>
      <c r="K265" s="144"/>
      <c r="L265" s="144"/>
      <c r="M265" s="144"/>
      <c r="N265" s="144"/>
      <c r="O265" s="144"/>
      <c r="P265" s="144"/>
      <c r="Q265" s="144"/>
      <c r="R265" s="144"/>
      <c r="S265" s="144"/>
      <c r="T265" s="144"/>
      <c r="U265" s="144"/>
      <c r="V265" s="160"/>
      <c r="W265" s="160"/>
      <c r="X265" s="160"/>
      <c r="Y265" s="160"/>
      <c r="Z265" s="160"/>
      <c r="AA265" s="160"/>
      <c r="AB265" s="160"/>
      <c r="AC265" s="160"/>
    </row>
    <row r="266" spans="2:29" ht="12.75" customHeight="1">
      <c r="B266" s="144"/>
      <c r="C266" s="144"/>
      <c r="D266" s="144"/>
      <c r="E266" s="144"/>
      <c r="F266" s="144"/>
      <c r="G266" s="144"/>
      <c r="H266" s="144"/>
      <c r="I266" s="144"/>
      <c r="J266" s="144"/>
      <c r="K266" s="144"/>
      <c r="L266" s="144"/>
      <c r="M266" s="144"/>
      <c r="N266" s="144"/>
      <c r="O266" s="144"/>
      <c r="P266" s="144"/>
      <c r="Q266" s="144"/>
      <c r="R266" s="144"/>
      <c r="S266" s="144"/>
      <c r="T266" s="144"/>
      <c r="U266" s="144"/>
      <c r="V266" s="160"/>
      <c r="W266" s="160"/>
      <c r="X266" s="160"/>
      <c r="Y266" s="160"/>
      <c r="Z266" s="160"/>
      <c r="AA266" s="160"/>
      <c r="AB266" s="160"/>
      <c r="AC266" s="160"/>
    </row>
    <row r="267" spans="2:29" ht="12.75" customHeight="1">
      <c r="B267" s="144"/>
      <c r="C267" s="144"/>
      <c r="D267" s="144"/>
      <c r="E267" s="144"/>
      <c r="F267" s="144"/>
      <c r="G267" s="144"/>
      <c r="H267" s="144"/>
      <c r="I267" s="144"/>
      <c r="J267" s="144"/>
      <c r="K267" s="144"/>
      <c r="L267" s="144"/>
      <c r="M267" s="144"/>
      <c r="N267" s="144"/>
      <c r="O267" s="144"/>
      <c r="P267" s="144"/>
      <c r="Q267" s="144"/>
      <c r="R267" s="144"/>
      <c r="S267" s="144"/>
      <c r="T267" s="144"/>
      <c r="U267" s="144"/>
      <c r="V267" s="160"/>
      <c r="W267" s="160"/>
      <c r="X267" s="160"/>
      <c r="Y267" s="160"/>
      <c r="Z267" s="160"/>
      <c r="AA267" s="160"/>
      <c r="AB267" s="160"/>
      <c r="AC267" s="160"/>
    </row>
    <row r="268" spans="2:29" ht="12.75" customHeight="1">
      <c r="B268" s="144"/>
      <c r="C268" s="144"/>
      <c r="D268" s="144"/>
      <c r="E268" s="144"/>
      <c r="F268" s="144"/>
      <c r="G268" s="144"/>
      <c r="H268" s="144"/>
      <c r="I268" s="144"/>
      <c r="J268" s="144"/>
      <c r="K268" s="144"/>
      <c r="L268" s="144"/>
      <c r="M268" s="144"/>
      <c r="N268" s="144"/>
      <c r="O268" s="144"/>
      <c r="P268" s="144"/>
      <c r="Q268" s="144"/>
      <c r="R268" s="144"/>
      <c r="S268" s="144"/>
      <c r="T268" s="144"/>
      <c r="U268" s="144"/>
      <c r="V268" s="160"/>
      <c r="W268" s="160"/>
      <c r="X268" s="160"/>
      <c r="Y268" s="160"/>
      <c r="Z268" s="160"/>
      <c r="AA268" s="160"/>
      <c r="AB268" s="160"/>
      <c r="AC268" s="160"/>
    </row>
    <row r="269" spans="2:29" ht="12.75" customHeight="1">
      <c r="B269" s="144"/>
      <c r="C269" s="144"/>
      <c r="D269" s="144"/>
      <c r="E269" s="144"/>
      <c r="F269" s="144"/>
      <c r="G269" s="144"/>
      <c r="H269" s="144"/>
      <c r="I269" s="144"/>
      <c r="J269" s="144"/>
      <c r="K269" s="144"/>
      <c r="L269" s="144"/>
      <c r="M269" s="144"/>
      <c r="N269" s="144"/>
      <c r="O269" s="144"/>
      <c r="P269" s="144"/>
      <c r="Q269" s="144"/>
      <c r="R269" s="144"/>
      <c r="S269" s="144"/>
      <c r="T269" s="144"/>
      <c r="U269" s="144"/>
      <c r="V269" s="160"/>
      <c r="W269" s="160"/>
      <c r="X269" s="160"/>
      <c r="Y269" s="160"/>
      <c r="Z269" s="160"/>
      <c r="AA269" s="160"/>
      <c r="AB269" s="160"/>
      <c r="AC269" s="160"/>
    </row>
    <row r="270" spans="2:29" ht="12.75" customHeight="1">
      <c r="B270" s="144"/>
      <c r="C270" s="144"/>
      <c r="D270" s="144"/>
      <c r="E270" s="144"/>
      <c r="F270" s="144"/>
      <c r="G270" s="144"/>
      <c r="H270" s="144"/>
      <c r="I270" s="144"/>
      <c r="J270" s="144"/>
      <c r="K270" s="144"/>
      <c r="L270" s="144"/>
      <c r="M270" s="144"/>
      <c r="N270" s="144"/>
      <c r="O270" s="144"/>
      <c r="P270" s="144"/>
      <c r="Q270" s="144"/>
      <c r="R270" s="144"/>
      <c r="S270" s="144"/>
      <c r="T270" s="144"/>
      <c r="U270" s="144"/>
      <c r="V270" s="160"/>
      <c r="W270" s="160"/>
      <c r="X270" s="160"/>
      <c r="Y270" s="160"/>
      <c r="Z270" s="160"/>
      <c r="AA270" s="160"/>
      <c r="AB270" s="160"/>
      <c r="AC270" s="160"/>
    </row>
    <row r="271" spans="2:29" ht="12.75" customHeight="1">
      <c r="B271" s="144"/>
      <c r="C271" s="144"/>
      <c r="D271" s="144"/>
      <c r="E271" s="144"/>
      <c r="F271" s="144"/>
      <c r="G271" s="144"/>
      <c r="H271" s="144"/>
      <c r="I271" s="144"/>
      <c r="J271" s="144"/>
      <c r="K271" s="144"/>
      <c r="L271" s="144"/>
      <c r="M271" s="144"/>
      <c r="N271" s="144"/>
      <c r="O271" s="144"/>
      <c r="P271" s="144"/>
      <c r="Q271" s="144"/>
      <c r="R271" s="144"/>
      <c r="S271" s="144"/>
      <c r="T271" s="144"/>
      <c r="U271" s="144"/>
      <c r="V271" s="160"/>
      <c r="W271" s="160"/>
      <c r="X271" s="160"/>
      <c r="Y271" s="160"/>
      <c r="Z271" s="160"/>
      <c r="AA271" s="160"/>
      <c r="AB271" s="160"/>
      <c r="AC271" s="160"/>
    </row>
    <row r="272" spans="2:29" ht="12.75" customHeight="1">
      <c r="B272" s="144"/>
      <c r="C272" s="144"/>
      <c r="D272" s="144"/>
      <c r="E272" s="144"/>
      <c r="F272" s="144"/>
      <c r="G272" s="144"/>
      <c r="H272" s="144"/>
      <c r="I272" s="144"/>
      <c r="J272" s="144"/>
      <c r="K272" s="144"/>
      <c r="L272" s="144"/>
      <c r="M272" s="144"/>
      <c r="N272" s="144"/>
      <c r="O272" s="144"/>
      <c r="P272" s="144"/>
      <c r="Q272" s="144"/>
      <c r="R272" s="144"/>
      <c r="S272" s="144"/>
      <c r="T272" s="144"/>
      <c r="U272" s="144"/>
      <c r="V272" s="160"/>
      <c r="W272" s="160"/>
      <c r="X272" s="160"/>
      <c r="Y272" s="160"/>
      <c r="Z272" s="160"/>
      <c r="AA272" s="160"/>
      <c r="AB272" s="160"/>
      <c r="AC272" s="160"/>
    </row>
    <row r="273" spans="2:29" ht="12.75" customHeight="1">
      <c r="B273" s="144"/>
      <c r="C273" s="144"/>
      <c r="D273" s="144"/>
      <c r="E273" s="144"/>
      <c r="F273" s="144"/>
      <c r="G273" s="144"/>
      <c r="H273" s="144"/>
      <c r="I273" s="144"/>
      <c r="J273" s="144"/>
      <c r="K273" s="144"/>
      <c r="L273" s="144"/>
      <c r="M273" s="144"/>
      <c r="N273" s="144"/>
      <c r="O273" s="144"/>
      <c r="P273" s="144"/>
      <c r="Q273" s="144"/>
      <c r="R273" s="144"/>
      <c r="S273" s="144"/>
      <c r="T273" s="144"/>
      <c r="U273" s="144"/>
      <c r="V273" s="160"/>
      <c r="W273" s="160"/>
      <c r="X273" s="160"/>
      <c r="Y273" s="160"/>
      <c r="Z273" s="160"/>
      <c r="AA273" s="160"/>
      <c r="AB273" s="160"/>
      <c r="AC273" s="160"/>
    </row>
    <row r="274" spans="2:29" ht="12.75" customHeight="1">
      <c r="B274" s="144"/>
      <c r="C274" s="144"/>
      <c r="D274" s="144"/>
      <c r="E274" s="144"/>
      <c r="F274" s="144"/>
      <c r="G274" s="144"/>
      <c r="H274" s="144"/>
      <c r="I274" s="144"/>
      <c r="J274" s="144"/>
      <c r="K274" s="144"/>
      <c r="L274" s="144"/>
      <c r="M274" s="144"/>
      <c r="N274" s="144"/>
      <c r="O274" s="144"/>
      <c r="P274" s="144"/>
      <c r="Q274" s="144"/>
      <c r="R274" s="144"/>
      <c r="S274" s="144"/>
      <c r="T274" s="144"/>
      <c r="U274" s="144"/>
      <c r="V274" s="160"/>
      <c r="W274" s="160"/>
      <c r="X274" s="160"/>
      <c r="Y274" s="160"/>
      <c r="Z274" s="160"/>
      <c r="AA274" s="160"/>
      <c r="AB274" s="160"/>
      <c r="AC274" s="160"/>
    </row>
    <row r="275" spans="2:29" ht="12.75" customHeight="1">
      <c r="B275" s="144"/>
      <c r="C275" s="144"/>
      <c r="D275" s="144"/>
      <c r="E275" s="144"/>
      <c r="F275" s="144"/>
      <c r="G275" s="144"/>
      <c r="H275" s="144"/>
      <c r="I275" s="144"/>
      <c r="J275" s="144"/>
      <c r="K275" s="144"/>
      <c r="L275" s="144"/>
      <c r="M275" s="144"/>
      <c r="N275" s="144"/>
      <c r="O275" s="144"/>
      <c r="P275" s="144"/>
      <c r="Q275" s="144"/>
      <c r="R275" s="144"/>
      <c r="S275" s="144"/>
      <c r="T275" s="144"/>
      <c r="U275" s="144"/>
      <c r="V275" s="160"/>
      <c r="W275" s="160"/>
      <c r="X275" s="160"/>
      <c r="Y275" s="160"/>
      <c r="Z275" s="160"/>
      <c r="AA275" s="160"/>
      <c r="AB275" s="160"/>
      <c r="AC275" s="160"/>
    </row>
    <row r="276" spans="2:29" ht="12.75" customHeight="1">
      <c r="B276" s="144"/>
      <c r="C276" s="144"/>
      <c r="D276" s="144"/>
      <c r="E276" s="144"/>
      <c r="F276" s="144"/>
      <c r="G276" s="144"/>
      <c r="H276" s="144"/>
      <c r="I276" s="144"/>
      <c r="J276" s="144"/>
      <c r="K276" s="144"/>
      <c r="L276" s="144"/>
      <c r="M276" s="144"/>
      <c r="N276" s="144"/>
      <c r="O276" s="144"/>
      <c r="P276" s="144"/>
      <c r="Q276" s="144"/>
      <c r="R276" s="144"/>
      <c r="S276" s="144"/>
      <c r="T276" s="144"/>
      <c r="U276" s="144"/>
      <c r="V276" s="160"/>
      <c r="W276" s="160"/>
      <c r="X276" s="160"/>
      <c r="Y276" s="160"/>
      <c r="Z276" s="160"/>
      <c r="AA276" s="160"/>
      <c r="AB276" s="160"/>
      <c r="AC276" s="160"/>
    </row>
    <row r="277" spans="2:29" ht="12.75" customHeight="1">
      <c r="B277" s="144"/>
      <c r="C277" s="144"/>
      <c r="D277" s="144"/>
      <c r="E277" s="144"/>
      <c r="F277" s="144"/>
      <c r="G277" s="144"/>
      <c r="H277" s="144"/>
      <c r="I277" s="144"/>
      <c r="J277" s="144"/>
      <c r="K277" s="144"/>
      <c r="L277" s="144"/>
      <c r="M277" s="144"/>
      <c r="N277" s="144"/>
      <c r="O277" s="144"/>
      <c r="P277" s="144"/>
      <c r="Q277" s="144"/>
      <c r="R277" s="144"/>
      <c r="S277" s="144"/>
      <c r="T277" s="144"/>
      <c r="U277" s="144"/>
      <c r="V277" s="160"/>
      <c r="W277" s="160"/>
      <c r="X277" s="160"/>
      <c r="Y277" s="160"/>
      <c r="Z277" s="160"/>
      <c r="AA277" s="160"/>
      <c r="AB277" s="160"/>
      <c r="AC277" s="160"/>
    </row>
    <row r="278" spans="2:29" ht="12.75" customHeight="1">
      <c r="B278" s="144"/>
      <c r="C278" s="144"/>
      <c r="D278" s="144"/>
      <c r="E278" s="144"/>
      <c r="F278" s="144"/>
      <c r="G278" s="144"/>
      <c r="H278" s="144"/>
      <c r="I278" s="144"/>
      <c r="J278" s="144"/>
      <c r="K278" s="144"/>
      <c r="L278" s="144"/>
      <c r="M278" s="144"/>
      <c r="N278" s="144"/>
      <c r="O278" s="144"/>
      <c r="P278" s="144"/>
      <c r="Q278" s="144"/>
      <c r="R278" s="144"/>
      <c r="S278" s="144"/>
      <c r="T278" s="144"/>
      <c r="U278" s="144"/>
      <c r="V278" s="160"/>
      <c r="W278" s="160"/>
      <c r="X278" s="160"/>
      <c r="Y278" s="160"/>
      <c r="Z278" s="160"/>
      <c r="AA278" s="160"/>
      <c r="AB278" s="160"/>
      <c r="AC278" s="160"/>
    </row>
    <row r="279" spans="2:29" ht="12.75" customHeight="1">
      <c r="B279" s="144"/>
      <c r="C279" s="144"/>
      <c r="D279" s="144"/>
      <c r="E279" s="144"/>
      <c r="F279" s="144"/>
      <c r="G279" s="144"/>
      <c r="H279" s="144"/>
      <c r="I279" s="144"/>
      <c r="J279" s="144"/>
      <c r="K279" s="144"/>
      <c r="L279" s="144"/>
      <c r="M279" s="144"/>
      <c r="N279" s="144"/>
      <c r="O279" s="144"/>
      <c r="P279" s="144"/>
      <c r="Q279" s="144"/>
      <c r="R279" s="144"/>
      <c r="S279" s="144"/>
      <c r="T279" s="144"/>
      <c r="U279" s="144"/>
      <c r="V279" s="160"/>
      <c r="W279" s="160"/>
      <c r="X279" s="160"/>
      <c r="Y279" s="160"/>
      <c r="Z279" s="160"/>
      <c r="AA279" s="160"/>
      <c r="AB279" s="160"/>
      <c r="AC279" s="160"/>
    </row>
    <row r="280" spans="2:29" ht="12.75" customHeight="1">
      <c r="B280" s="144"/>
      <c r="C280" s="144"/>
      <c r="D280" s="144"/>
      <c r="E280" s="144"/>
      <c r="F280" s="144"/>
      <c r="G280" s="144"/>
      <c r="H280" s="144"/>
      <c r="I280" s="144"/>
      <c r="J280" s="144"/>
      <c r="K280" s="144"/>
      <c r="L280" s="144"/>
      <c r="M280" s="144"/>
      <c r="N280" s="144"/>
      <c r="O280" s="144"/>
      <c r="P280" s="144"/>
      <c r="Q280" s="144"/>
      <c r="R280" s="144"/>
      <c r="S280" s="144"/>
      <c r="T280" s="144"/>
      <c r="U280" s="144"/>
      <c r="V280" s="160"/>
      <c r="W280" s="160"/>
      <c r="X280" s="160"/>
      <c r="Y280" s="160"/>
      <c r="Z280" s="160"/>
      <c r="AA280" s="160"/>
      <c r="AB280" s="160"/>
      <c r="AC280" s="160"/>
    </row>
    <row r="281" spans="2:29" ht="12.75" customHeight="1">
      <c r="B281" s="144"/>
      <c r="C281" s="144"/>
      <c r="D281" s="144"/>
      <c r="E281" s="144"/>
      <c r="F281" s="144"/>
      <c r="G281" s="144"/>
      <c r="H281" s="144"/>
      <c r="I281" s="144"/>
      <c r="J281" s="144"/>
      <c r="K281" s="144"/>
      <c r="L281" s="144"/>
      <c r="M281" s="144"/>
      <c r="N281" s="144"/>
      <c r="O281" s="144"/>
      <c r="P281" s="144"/>
      <c r="Q281" s="144"/>
      <c r="R281" s="144"/>
      <c r="S281" s="144"/>
      <c r="T281" s="144"/>
      <c r="U281" s="144"/>
      <c r="V281" s="160"/>
      <c r="W281" s="160"/>
      <c r="X281" s="160"/>
      <c r="Y281" s="160"/>
      <c r="Z281" s="160"/>
      <c r="AA281" s="160"/>
      <c r="AB281" s="160"/>
      <c r="AC281" s="160"/>
    </row>
    <row r="282" spans="2:29" ht="12.75" customHeight="1">
      <c r="B282" s="144"/>
      <c r="C282" s="144"/>
      <c r="D282" s="144"/>
      <c r="E282" s="144"/>
      <c r="F282" s="144"/>
      <c r="G282" s="144"/>
      <c r="H282" s="144"/>
      <c r="I282" s="144"/>
      <c r="J282" s="144"/>
      <c r="K282" s="144"/>
      <c r="L282" s="144"/>
      <c r="M282" s="144"/>
      <c r="N282" s="144"/>
      <c r="O282" s="144"/>
      <c r="P282" s="144"/>
      <c r="Q282" s="144"/>
      <c r="R282" s="144"/>
      <c r="S282" s="144"/>
      <c r="T282" s="144"/>
      <c r="U282" s="144"/>
      <c r="V282" s="160"/>
      <c r="W282" s="160"/>
      <c r="X282" s="160"/>
      <c r="Y282" s="160"/>
      <c r="Z282" s="160"/>
      <c r="AA282" s="160"/>
      <c r="AB282" s="160"/>
      <c r="AC282" s="160"/>
    </row>
    <row r="283" spans="2:29" ht="12.75" customHeight="1">
      <c r="B283" s="144"/>
      <c r="C283" s="144"/>
      <c r="D283" s="144"/>
      <c r="E283" s="144"/>
      <c r="F283" s="144"/>
      <c r="G283" s="144"/>
      <c r="H283" s="144"/>
      <c r="I283" s="144"/>
      <c r="J283" s="144"/>
      <c r="K283" s="144"/>
      <c r="L283" s="144"/>
      <c r="M283" s="144"/>
      <c r="N283" s="144"/>
      <c r="O283" s="144"/>
      <c r="P283" s="144"/>
      <c r="Q283" s="144"/>
      <c r="R283" s="144"/>
      <c r="S283" s="144"/>
      <c r="T283" s="144"/>
      <c r="U283" s="144"/>
      <c r="V283" s="160"/>
      <c r="W283" s="160"/>
      <c r="X283" s="160"/>
      <c r="Y283" s="160"/>
      <c r="Z283" s="160"/>
      <c r="AA283" s="160"/>
      <c r="AB283" s="160"/>
      <c r="AC283" s="160"/>
    </row>
    <row r="284" spans="2:29" ht="12.75" customHeight="1">
      <c r="B284" s="144"/>
      <c r="C284" s="144"/>
      <c r="D284" s="144"/>
      <c r="E284" s="144"/>
      <c r="F284" s="144"/>
      <c r="G284" s="144"/>
      <c r="H284" s="144"/>
      <c r="I284" s="144"/>
      <c r="J284" s="144"/>
      <c r="K284" s="144"/>
      <c r="L284" s="144"/>
      <c r="M284" s="144"/>
      <c r="N284" s="144"/>
      <c r="O284" s="144"/>
      <c r="P284" s="144"/>
      <c r="Q284" s="144"/>
      <c r="R284" s="144"/>
      <c r="S284" s="144"/>
      <c r="T284" s="144"/>
      <c r="U284" s="144"/>
      <c r="V284" s="160"/>
      <c r="W284" s="160"/>
      <c r="X284" s="160"/>
      <c r="Y284" s="160"/>
      <c r="Z284" s="160"/>
      <c r="AA284" s="160"/>
      <c r="AB284" s="160"/>
      <c r="AC284" s="160"/>
    </row>
    <row r="285" spans="2:29" ht="12.75" customHeight="1">
      <c r="B285" s="144"/>
      <c r="C285" s="144"/>
      <c r="D285" s="144"/>
      <c r="E285" s="144"/>
      <c r="F285" s="144"/>
      <c r="G285" s="144"/>
      <c r="H285" s="144"/>
      <c r="I285" s="144"/>
      <c r="J285" s="144"/>
      <c r="K285" s="144"/>
      <c r="L285" s="144"/>
      <c r="M285" s="144"/>
      <c r="N285" s="144"/>
      <c r="O285" s="144"/>
      <c r="P285" s="144"/>
      <c r="Q285" s="144"/>
      <c r="R285" s="144"/>
      <c r="S285" s="144"/>
      <c r="T285" s="144"/>
      <c r="U285" s="144"/>
      <c r="V285" s="160"/>
      <c r="W285" s="160"/>
      <c r="X285" s="160"/>
      <c r="Y285" s="160"/>
      <c r="Z285" s="160"/>
      <c r="AA285" s="160"/>
      <c r="AB285" s="160"/>
      <c r="AC285" s="160"/>
    </row>
    <row r="286" spans="2:29" ht="12.75" customHeight="1">
      <c r="B286" s="144"/>
      <c r="C286" s="144"/>
      <c r="D286" s="144"/>
      <c r="E286" s="144"/>
      <c r="F286" s="144"/>
      <c r="G286" s="144"/>
      <c r="H286" s="144"/>
      <c r="I286" s="144"/>
      <c r="J286" s="144"/>
      <c r="K286" s="144"/>
      <c r="L286" s="144"/>
      <c r="M286" s="144"/>
      <c r="N286" s="144"/>
      <c r="O286" s="144"/>
      <c r="P286" s="144"/>
      <c r="Q286" s="144"/>
      <c r="R286" s="144"/>
      <c r="S286" s="144"/>
      <c r="T286" s="144"/>
      <c r="U286" s="144"/>
      <c r="V286" s="160"/>
      <c r="W286" s="160"/>
      <c r="X286" s="160"/>
      <c r="Y286" s="160"/>
      <c r="Z286" s="160"/>
      <c r="AA286" s="160"/>
      <c r="AB286" s="160"/>
      <c r="AC286" s="160"/>
    </row>
    <row r="287" spans="2:29" ht="12.75" customHeight="1">
      <c r="B287" s="144"/>
      <c r="C287" s="144"/>
      <c r="D287" s="144"/>
      <c r="E287" s="144"/>
      <c r="F287" s="144"/>
      <c r="G287" s="144"/>
      <c r="H287" s="144"/>
      <c r="I287" s="144"/>
      <c r="J287" s="144"/>
      <c r="K287" s="144"/>
      <c r="L287" s="144"/>
      <c r="M287" s="144"/>
      <c r="N287" s="144"/>
      <c r="O287" s="144"/>
      <c r="P287" s="144"/>
      <c r="Q287" s="144"/>
      <c r="R287" s="144"/>
      <c r="S287" s="144"/>
      <c r="T287" s="144"/>
      <c r="U287" s="144"/>
      <c r="V287" s="160"/>
      <c r="W287" s="160"/>
      <c r="X287" s="160"/>
      <c r="Y287" s="160"/>
      <c r="Z287" s="160"/>
      <c r="AA287" s="160"/>
      <c r="AB287" s="160"/>
      <c r="AC287" s="160"/>
    </row>
    <row r="288" spans="2:29" ht="12.75" customHeight="1">
      <c r="B288" s="144"/>
      <c r="C288" s="144"/>
      <c r="D288" s="144"/>
      <c r="E288" s="144"/>
      <c r="F288" s="144"/>
      <c r="G288" s="144"/>
      <c r="H288" s="144"/>
      <c r="I288" s="144"/>
      <c r="J288" s="144"/>
      <c r="K288" s="144"/>
      <c r="L288" s="144"/>
      <c r="M288" s="144"/>
      <c r="N288" s="144"/>
      <c r="O288" s="144"/>
      <c r="P288" s="144"/>
      <c r="Q288" s="144"/>
      <c r="R288" s="144"/>
      <c r="S288" s="144"/>
      <c r="T288" s="144"/>
      <c r="U288" s="144"/>
      <c r="V288" s="160"/>
      <c r="W288" s="160"/>
      <c r="X288" s="160"/>
      <c r="Y288" s="160"/>
      <c r="Z288" s="160"/>
      <c r="AA288" s="160"/>
      <c r="AB288" s="160"/>
      <c r="AC288" s="160"/>
    </row>
    <row r="289" spans="2:29" ht="12.75" customHeight="1">
      <c r="B289" s="144"/>
      <c r="C289" s="144"/>
      <c r="D289" s="144"/>
      <c r="E289" s="144"/>
      <c r="F289" s="144"/>
      <c r="G289" s="144"/>
      <c r="H289" s="144"/>
      <c r="I289" s="144"/>
      <c r="J289" s="144"/>
      <c r="K289" s="144"/>
      <c r="L289" s="144"/>
      <c r="M289" s="144"/>
      <c r="N289" s="144"/>
      <c r="O289" s="144"/>
      <c r="P289" s="144"/>
      <c r="Q289" s="144"/>
      <c r="R289" s="144"/>
      <c r="S289" s="144"/>
      <c r="T289" s="144"/>
      <c r="U289" s="144"/>
      <c r="V289" s="160"/>
      <c r="W289" s="160"/>
      <c r="X289" s="160"/>
      <c r="Y289" s="160"/>
      <c r="Z289" s="160"/>
      <c r="AA289" s="160"/>
      <c r="AB289" s="160"/>
      <c r="AC289" s="160"/>
    </row>
    <row r="290" spans="2:29" ht="12.75" customHeight="1">
      <c r="B290" s="144"/>
      <c r="C290" s="144"/>
      <c r="D290" s="144"/>
      <c r="E290" s="144"/>
      <c r="F290" s="144"/>
      <c r="G290" s="144"/>
      <c r="H290" s="144"/>
      <c r="I290" s="144"/>
      <c r="J290" s="144"/>
      <c r="K290" s="144"/>
      <c r="L290" s="144"/>
      <c r="M290" s="144"/>
      <c r="N290" s="144"/>
      <c r="O290" s="144"/>
      <c r="P290" s="144"/>
      <c r="Q290" s="144"/>
      <c r="R290" s="144"/>
      <c r="S290" s="144"/>
      <c r="T290" s="144"/>
      <c r="U290" s="144"/>
      <c r="V290" s="160"/>
      <c r="W290" s="160"/>
      <c r="X290" s="160"/>
      <c r="Y290" s="160"/>
      <c r="Z290" s="160"/>
      <c r="AA290" s="160"/>
      <c r="AB290" s="160"/>
      <c r="AC290" s="160"/>
    </row>
    <row r="291" spans="2:29" ht="12.75" customHeight="1">
      <c r="B291" s="144"/>
      <c r="C291" s="144"/>
      <c r="D291" s="144"/>
      <c r="E291" s="144"/>
      <c r="F291" s="144"/>
      <c r="G291" s="144"/>
      <c r="H291" s="144"/>
      <c r="I291" s="144"/>
      <c r="J291" s="144"/>
      <c r="K291" s="144"/>
      <c r="L291" s="144"/>
      <c r="M291" s="144"/>
      <c r="N291" s="144"/>
      <c r="O291" s="144"/>
      <c r="P291" s="144"/>
      <c r="Q291" s="144"/>
      <c r="R291" s="144"/>
      <c r="S291" s="144"/>
      <c r="T291" s="144"/>
      <c r="U291" s="144"/>
      <c r="V291" s="160"/>
      <c r="W291" s="160"/>
      <c r="X291" s="160"/>
      <c r="Y291" s="160"/>
      <c r="Z291" s="160"/>
      <c r="AA291" s="160"/>
      <c r="AB291" s="160"/>
      <c r="AC291" s="160"/>
    </row>
    <row r="292" spans="2:29" ht="12.75" customHeight="1">
      <c r="B292" s="144"/>
      <c r="C292" s="144"/>
      <c r="D292" s="144"/>
      <c r="E292" s="144"/>
      <c r="F292" s="144"/>
      <c r="G292" s="144"/>
      <c r="H292" s="144"/>
      <c r="I292" s="144"/>
      <c r="J292" s="144"/>
      <c r="K292" s="144"/>
      <c r="L292" s="144"/>
      <c r="M292" s="144"/>
      <c r="N292" s="144"/>
      <c r="O292" s="144"/>
      <c r="P292" s="144"/>
      <c r="Q292" s="144"/>
      <c r="R292" s="144"/>
      <c r="S292" s="144"/>
      <c r="T292" s="144"/>
      <c r="U292" s="144"/>
      <c r="V292" s="160"/>
      <c r="W292" s="160"/>
      <c r="X292" s="160"/>
      <c r="Y292" s="160"/>
      <c r="Z292" s="160"/>
      <c r="AA292" s="160"/>
      <c r="AB292" s="160"/>
      <c r="AC292" s="160"/>
    </row>
    <row r="293" spans="2:29" ht="12.75" customHeight="1">
      <c r="B293" s="144"/>
      <c r="C293" s="144"/>
      <c r="D293" s="144"/>
      <c r="E293" s="144"/>
      <c r="F293" s="144"/>
      <c r="G293" s="144"/>
      <c r="H293" s="144"/>
      <c r="I293" s="144"/>
      <c r="J293" s="144"/>
      <c r="K293" s="144"/>
      <c r="L293" s="144"/>
      <c r="M293" s="144"/>
      <c r="N293" s="144"/>
      <c r="O293" s="144"/>
      <c r="P293" s="144"/>
      <c r="Q293" s="144"/>
      <c r="R293" s="144"/>
      <c r="S293" s="144"/>
      <c r="T293" s="144"/>
      <c r="U293" s="144"/>
      <c r="V293" s="160"/>
      <c r="W293" s="160"/>
      <c r="X293" s="160"/>
      <c r="Y293" s="160"/>
      <c r="Z293" s="160"/>
      <c r="AA293" s="160"/>
      <c r="AB293" s="160"/>
      <c r="AC293" s="160"/>
    </row>
    <row r="294" spans="2:29" ht="12.75" customHeight="1">
      <c r="B294" s="144"/>
      <c r="C294" s="144"/>
      <c r="D294" s="144"/>
      <c r="E294" s="144"/>
      <c r="F294" s="144"/>
      <c r="G294" s="144"/>
      <c r="H294" s="144"/>
      <c r="I294" s="144"/>
      <c r="J294" s="144"/>
      <c r="K294" s="144"/>
      <c r="L294" s="144"/>
      <c r="M294" s="144"/>
      <c r="N294" s="144"/>
      <c r="O294" s="144"/>
      <c r="P294" s="144"/>
      <c r="Q294" s="144"/>
      <c r="R294" s="144"/>
      <c r="S294" s="144"/>
      <c r="T294" s="144"/>
      <c r="U294" s="144"/>
      <c r="V294" s="160"/>
      <c r="W294" s="160"/>
      <c r="X294" s="160"/>
      <c r="Y294" s="160"/>
      <c r="Z294" s="160"/>
      <c r="AA294" s="160"/>
      <c r="AB294" s="160"/>
      <c r="AC294" s="160"/>
    </row>
    <row r="295" spans="2:29" ht="12.75" customHeight="1">
      <c r="B295" s="144"/>
      <c r="C295" s="144"/>
      <c r="D295" s="144"/>
      <c r="E295" s="144"/>
      <c r="F295" s="144"/>
      <c r="G295" s="144"/>
      <c r="H295" s="144"/>
      <c r="I295" s="144"/>
      <c r="J295" s="144"/>
      <c r="K295" s="144"/>
      <c r="L295" s="144"/>
      <c r="M295" s="144"/>
      <c r="N295" s="144"/>
      <c r="O295" s="144"/>
      <c r="P295" s="144"/>
      <c r="Q295" s="144"/>
      <c r="R295" s="144"/>
      <c r="S295" s="144"/>
      <c r="T295" s="144"/>
      <c r="U295" s="144"/>
      <c r="V295" s="160"/>
      <c r="W295" s="160"/>
      <c r="X295" s="160"/>
      <c r="Y295" s="160"/>
      <c r="Z295" s="160"/>
      <c r="AA295" s="160"/>
      <c r="AB295" s="160"/>
      <c r="AC295" s="160"/>
    </row>
    <row r="296" spans="2:29" ht="12.75" customHeight="1">
      <c r="B296" s="144"/>
      <c r="C296" s="144"/>
      <c r="D296" s="144"/>
      <c r="E296" s="144"/>
      <c r="F296" s="144"/>
      <c r="G296" s="144"/>
      <c r="H296" s="144"/>
      <c r="I296" s="144"/>
      <c r="J296" s="144"/>
      <c r="K296" s="144"/>
      <c r="L296" s="144"/>
      <c r="M296" s="144"/>
      <c r="N296" s="144"/>
      <c r="O296" s="144"/>
      <c r="P296" s="144"/>
      <c r="Q296" s="144"/>
      <c r="R296" s="144"/>
      <c r="S296" s="144"/>
      <c r="T296" s="144"/>
      <c r="U296" s="144"/>
      <c r="V296" s="160"/>
      <c r="W296" s="160"/>
      <c r="X296" s="160"/>
      <c r="Y296" s="160"/>
      <c r="Z296" s="160"/>
      <c r="AA296" s="160"/>
      <c r="AB296" s="160"/>
      <c r="AC296" s="160"/>
    </row>
    <row r="297" spans="2:29" ht="12.75" customHeight="1">
      <c r="B297" s="144"/>
      <c r="C297" s="144"/>
      <c r="D297" s="144"/>
      <c r="E297" s="144"/>
      <c r="F297" s="144"/>
      <c r="G297" s="144"/>
      <c r="H297" s="144"/>
      <c r="I297" s="144"/>
      <c r="J297" s="144"/>
      <c r="K297" s="144"/>
      <c r="L297" s="144"/>
      <c r="M297" s="144"/>
      <c r="N297" s="144"/>
      <c r="O297" s="144"/>
      <c r="P297" s="144"/>
      <c r="Q297" s="144"/>
      <c r="R297" s="144"/>
      <c r="S297" s="144"/>
      <c r="T297" s="144"/>
      <c r="U297" s="144"/>
      <c r="V297" s="160"/>
      <c r="W297" s="160"/>
      <c r="X297" s="160"/>
      <c r="Y297" s="160"/>
      <c r="Z297" s="160"/>
      <c r="AA297" s="160"/>
      <c r="AB297" s="160"/>
      <c r="AC297" s="160"/>
    </row>
    <row r="298" spans="2:29" ht="12.75" customHeight="1">
      <c r="B298" s="144"/>
      <c r="C298" s="144"/>
      <c r="D298" s="144"/>
      <c r="E298" s="144"/>
      <c r="F298" s="144"/>
      <c r="G298" s="144"/>
      <c r="H298" s="144"/>
      <c r="I298" s="144"/>
      <c r="J298" s="144"/>
      <c r="K298" s="144"/>
      <c r="L298" s="144"/>
      <c r="M298" s="144"/>
      <c r="N298" s="144"/>
      <c r="O298" s="144"/>
      <c r="P298" s="144"/>
      <c r="Q298" s="144"/>
      <c r="R298" s="144"/>
      <c r="S298" s="144"/>
      <c r="T298" s="144"/>
      <c r="U298" s="144"/>
      <c r="V298" s="160"/>
      <c r="W298" s="160"/>
      <c r="X298" s="160"/>
      <c r="Y298" s="160"/>
      <c r="Z298" s="160"/>
      <c r="AA298" s="160"/>
      <c r="AB298" s="160"/>
      <c r="AC298" s="160"/>
    </row>
    <row r="299" spans="2:29" ht="12.75" customHeight="1">
      <c r="B299" s="144"/>
      <c r="C299" s="144"/>
      <c r="D299" s="144"/>
      <c r="E299" s="144"/>
      <c r="F299" s="144"/>
      <c r="G299" s="144"/>
      <c r="H299" s="144"/>
      <c r="I299" s="144"/>
      <c r="J299" s="144"/>
      <c r="K299" s="144"/>
      <c r="L299" s="144"/>
      <c r="M299" s="144"/>
      <c r="N299" s="144"/>
      <c r="O299" s="144"/>
      <c r="P299" s="144"/>
      <c r="Q299" s="144"/>
      <c r="R299" s="144"/>
      <c r="S299" s="144"/>
      <c r="T299" s="144"/>
      <c r="U299" s="144"/>
      <c r="V299" s="160"/>
      <c r="W299" s="160"/>
      <c r="X299" s="160"/>
      <c r="Y299" s="160"/>
      <c r="Z299" s="160"/>
      <c r="AA299" s="160"/>
      <c r="AB299" s="160"/>
      <c r="AC299" s="160"/>
    </row>
    <row r="300" spans="2:29" ht="12.75" customHeight="1">
      <c r="B300" s="144"/>
      <c r="C300" s="144"/>
      <c r="D300" s="144"/>
      <c r="E300" s="144"/>
      <c r="F300" s="144"/>
      <c r="G300" s="144"/>
      <c r="H300" s="144"/>
      <c r="I300" s="144"/>
      <c r="J300" s="144"/>
      <c r="K300" s="144"/>
      <c r="L300" s="144"/>
      <c r="M300" s="144"/>
      <c r="N300" s="144"/>
      <c r="O300" s="144"/>
      <c r="P300" s="144"/>
      <c r="Q300" s="144"/>
      <c r="R300" s="144"/>
      <c r="S300" s="144"/>
      <c r="T300" s="144"/>
      <c r="U300" s="144"/>
      <c r="V300" s="160"/>
      <c r="W300" s="160"/>
      <c r="X300" s="160"/>
      <c r="Y300" s="160"/>
      <c r="Z300" s="160"/>
      <c r="AA300" s="160"/>
      <c r="AB300" s="160"/>
      <c r="AC300" s="160"/>
    </row>
    <row r="301" spans="2:29" ht="12.75" customHeight="1">
      <c r="B301" s="144"/>
      <c r="C301" s="144"/>
      <c r="D301" s="144"/>
      <c r="E301" s="144"/>
      <c r="F301" s="144"/>
      <c r="G301" s="144"/>
      <c r="H301" s="144"/>
      <c r="I301" s="144"/>
      <c r="J301" s="144"/>
      <c r="K301" s="144"/>
      <c r="L301" s="144"/>
      <c r="M301" s="144"/>
      <c r="N301" s="144"/>
      <c r="O301" s="144"/>
      <c r="P301" s="144"/>
      <c r="Q301" s="144"/>
      <c r="R301" s="144"/>
      <c r="S301" s="144"/>
      <c r="T301" s="144"/>
      <c r="U301" s="144"/>
      <c r="V301" s="160"/>
      <c r="W301" s="160"/>
      <c r="X301" s="160"/>
      <c r="Y301" s="160"/>
      <c r="Z301" s="160"/>
      <c r="AA301" s="160"/>
      <c r="AB301" s="160"/>
      <c r="AC301" s="160"/>
    </row>
    <row r="302" spans="2:29" ht="12.75" customHeight="1">
      <c r="B302" s="144"/>
      <c r="C302" s="144"/>
      <c r="D302" s="144"/>
      <c r="E302" s="144"/>
      <c r="F302" s="144"/>
      <c r="G302" s="144"/>
      <c r="H302" s="144"/>
      <c r="I302" s="144"/>
      <c r="J302" s="144"/>
      <c r="K302" s="144"/>
      <c r="L302" s="144"/>
      <c r="M302" s="144"/>
      <c r="N302" s="144"/>
      <c r="O302" s="144"/>
      <c r="P302" s="144"/>
      <c r="Q302" s="144"/>
      <c r="R302" s="144"/>
      <c r="S302" s="144"/>
      <c r="T302" s="144"/>
      <c r="U302" s="144"/>
      <c r="V302" s="160"/>
      <c r="W302" s="160"/>
      <c r="X302" s="160"/>
      <c r="Y302" s="160"/>
      <c r="Z302" s="160"/>
      <c r="AA302" s="160"/>
      <c r="AB302" s="160"/>
      <c r="AC302" s="160"/>
    </row>
    <row r="303" spans="2:29" ht="12.75" customHeight="1">
      <c r="B303" s="144"/>
      <c r="C303" s="144"/>
      <c r="D303" s="144"/>
      <c r="E303" s="144"/>
      <c r="F303" s="144"/>
      <c r="G303" s="144"/>
      <c r="H303" s="144"/>
      <c r="I303" s="144"/>
      <c r="J303" s="144"/>
      <c r="K303" s="144"/>
      <c r="L303" s="144"/>
      <c r="M303" s="144"/>
      <c r="N303" s="144"/>
      <c r="O303" s="144"/>
      <c r="P303" s="144"/>
      <c r="Q303" s="144"/>
      <c r="R303" s="144"/>
      <c r="S303" s="144"/>
      <c r="T303" s="144"/>
      <c r="U303" s="144"/>
      <c r="V303" s="160"/>
      <c r="W303" s="160"/>
      <c r="X303" s="160"/>
      <c r="Y303" s="160"/>
      <c r="Z303" s="160"/>
      <c r="AA303" s="160"/>
      <c r="AB303" s="160"/>
      <c r="AC303" s="160"/>
    </row>
    <row r="304" spans="2:29" ht="12.75" customHeight="1">
      <c r="B304" s="144"/>
      <c r="C304" s="144"/>
      <c r="D304" s="144"/>
      <c r="E304" s="144"/>
      <c r="F304" s="144"/>
      <c r="G304" s="144"/>
      <c r="H304" s="144"/>
      <c r="I304" s="144"/>
      <c r="J304" s="144"/>
      <c r="K304" s="144"/>
      <c r="L304" s="144"/>
      <c r="M304" s="144"/>
      <c r="N304" s="144"/>
      <c r="O304" s="144"/>
      <c r="P304" s="144"/>
      <c r="Q304" s="144"/>
      <c r="R304" s="144"/>
      <c r="S304" s="144"/>
      <c r="T304" s="144"/>
      <c r="U304" s="144"/>
      <c r="V304" s="160"/>
      <c r="W304" s="160"/>
      <c r="X304" s="160"/>
      <c r="Y304" s="160"/>
      <c r="Z304" s="160"/>
      <c r="AA304" s="160"/>
      <c r="AB304" s="160"/>
      <c r="AC304" s="160"/>
    </row>
    <row r="305" spans="2:29" ht="12.75" customHeight="1">
      <c r="B305" s="144"/>
      <c r="C305" s="144"/>
      <c r="D305" s="144"/>
      <c r="E305" s="144"/>
      <c r="F305" s="144"/>
      <c r="G305" s="144"/>
      <c r="H305" s="144"/>
      <c r="I305" s="144"/>
      <c r="J305" s="144"/>
      <c r="K305" s="144"/>
      <c r="L305" s="144"/>
      <c r="M305" s="144"/>
      <c r="N305" s="144"/>
      <c r="O305" s="144"/>
      <c r="P305" s="144"/>
      <c r="Q305" s="144"/>
      <c r="R305" s="144"/>
      <c r="S305" s="144"/>
      <c r="T305" s="144"/>
      <c r="U305" s="144"/>
      <c r="V305" s="160"/>
      <c r="W305" s="160"/>
      <c r="X305" s="160"/>
      <c r="Y305" s="160"/>
      <c r="Z305" s="160"/>
      <c r="AA305" s="160"/>
      <c r="AB305" s="160"/>
      <c r="AC305" s="160"/>
    </row>
    <row r="306" spans="2:29" ht="12.75" customHeight="1">
      <c r="B306" s="144"/>
      <c r="C306" s="144"/>
      <c r="D306" s="144"/>
      <c r="E306" s="144"/>
      <c r="F306" s="144"/>
      <c r="G306" s="144"/>
      <c r="H306" s="144"/>
      <c r="I306" s="144"/>
      <c r="J306" s="144"/>
      <c r="K306" s="144"/>
      <c r="L306" s="144"/>
      <c r="M306" s="144"/>
      <c r="N306" s="144"/>
      <c r="O306" s="144"/>
      <c r="P306" s="144"/>
      <c r="Q306" s="144"/>
      <c r="R306" s="144"/>
      <c r="S306" s="144"/>
      <c r="T306" s="144"/>
      <c r="U306" s="144"/>
      <c r="V306" s="160"/>
      <c r="W306" s="160"/>
      <c r="X306" s="160"/>
      <c r="Y306" s="160"/>
      <c r="Z306" s="160"/>
      <c r="AA306" s="160"/>
      <c r="AB306" s="160"/>
      <c r="AC306" s="160"/>
    </row>
    <row r="307" spans="2:29" ht="12.75" customHeight="1">
      <c r="B307" s="144"/>
      <c r="C307" s="144"/>
      <c r="D307" s="144"/>
      <c r="E307" s="144"/>
      <c r="F307" s="144"/>
      <c r="G307" s="144"/>
      <c r="H307" s="144"/>
      <c r="I307" s="144"/>
      <c r="J307" s="144"/>
      <c r="K307" s="144"/>
      <c r="L307" s="144"/>
      <c r="M307" s="144"/>
      <c r="N307" s="144"/>
      <c r="O307" s="144"/>
      <c r="P307" s="144"/>
      <c r="Q307" s="144"/>
      <c r="R307" s="144"/>
      <c r="S307" s="144"/>
      <c r="T307" s="144"/>
      <c r="U307" s="144"/>
      <c r="V307" s="160"/>
      <c r="W307" s="160"/>
      <c r="X307" s="160"/>
      <c r="Y307" s="160"/>
      <c r="Z307" s="160"/>
      <c r="AA307" s="160"/>
      <c r="AB307" s="160"/>
      <c r="AC307" s="160"/>
    </row>
    <row r="308" spans="2:29" ht="12.75" customHeight="1">
      <c r="B308" s="144"/>
      <c r="C308" s="144"/>
      <c r="D308" s="144"/>
      <c r="E308" s="144"/>
      <c r="F308" s="144"/>
      <c r="G308" s="144"/>
      <c r="H308" s="144"/>
      <c r="I308" s="144"/>
      <c r="J308" s="144"/>
      <c r="K308" s="144"/>
      <c r="L308" s="144"/>
      <c r="M308" s="144"/>
      <c r="N308" s="144"/>
      <c r="O308" s="144"/>
      <c r="P308" s="144"/>
      <c r="Q308" s="144"/>
      <c r="R308" s="144"/>
      <c r="S308" s="144"/>
      <c r="T308" s="144"/>
      <c r="U308" s="144"/>
      <c r="V308" s="160"/>
      <c r="W308" s="160"/>
      <c r="X308" s="160"/>
      <c r="Y308" s="160"/>
      <c r="Z308" s="160"/>
      <c r="AA308" s="160"/>
      <c r="AB308" s="160"/>
      <c r="AC308" s="160"/>
    </row>
    <row r="309" spans="2:29" ht="12.75" customHeight="1">
      <c r="B309" s="144"/>
      <c r="C309" s="144"/>
      <c r="D309" s="144"/>
      <c r="E309" s="144"/>
      <c r="F309" s="144"/>
      <c r="G309" s="144"/>
      <c r="H309" s="144"/>
      <c r="I309" s="144"/>
      <c r="J309" s="144"/>
      <c r="K309" s="144"/>
      <c r="L309" s="144"/>
      <c r="M309" s="144"/>
      <c r="N309" s="144"/>
      <c r="O309" s="144"/>
      <c r="P309" s="144"/>
      <c r="Q309" s="144"/>
      <c r="R309" s="144"/>
      <c r="S309" s="144"/>
      <c r="T309" s="144"/>
      <c r="U309" s="144"/>
      <c r="V309" s="160"/>
      <c r="W309" s="160"/>
      <c r="X309" s="160"/>
      <c r="Y309" s="160"/>
      <c r="Z309" s="160"/>
      <c r="AA309" s="160"/>
      <c r="AB309" s="160"/>
      <c r="AC309" s="160"/>
    </row>
    <row r="310" spans="2:29" ht="12.75" customHeight="1">
      <c r="B310" s="144"/>
      <c r="C310" s="144"/>
      <c r="D310" s="144"/>
      <c r="E310" s="144"/>
      <c r="F310" s="144"/>
      <c r="G310" s="144"/>
      <c r="H310" s="144"/>
      <c r="I310" s="144"/>
      <c r="J310" s="144"/>
      <c r="K310" s="144"/>
      <c r="L310" s="144"/>
      <c r="M310" s="144"/>
      <c r="N310" s="144"/>
      <c r="O310" s="144"/>
      <c r="P310" s="144"/>
      <c r="Q310" s="144"/>
      <c r="R310" s="144"/>
      <c r="S310" s="144"/>
      <c r="T310" s="144"/>
      <c r="U310" s="144"/>
      <c r="V310" s="160"/>
      <c r="W310" s="160"/>
      <c r="X310" s="160"/>
      <c r="Y310" s="160"/>
      <c r="Z310" s="160"/>
      <c r="AA310" s="160"/>
      <c r="AB310" s="160"/>
      <c r="AC310" s="160"/>
    </row>
    <row r="311" spans="2:29" ht="12.75" customHeight="1">
      <c r="B311" s="144"/>
      <c r="C311" s="144"/>
      <c r="D311" s="144"/>
      <c r="E311" s="144"/>
      <c r="F311" s="144"/>
      <c r="G311" s="144"/>
      <c r="H311" s="144"/>
      <c r="I311" s="144"/>
      <c r="J311" s="144"/>
      <c r="K311" s="144"/>
      <c r="L311" s="144"/>
      <c r="M311" s="144"/>
      <c r="N311" s="144"/>
      <c r="O311" s="144"/>
      <c r="P311" s="144"/>
      <c r="Q311" s="144"/>
      <c r="R311" s="144"/>
      <c r="S311" s="144"/>
      <c r="T311" s="144"/>
      <c r="U311" s="144"/>
      <c r="V311" s="160"/>
      <c r="W311" s="160"/>
      <c r="X311" s="160"/>
      <c r="Y311" s="160"/>
      <c r="Z311" s="160"/>
      <c r="AA311" s="160"/>
      <c r="AB311" s="160"/>
      <c r="AC311" s="160"/>
    </row>
    <row r="312" spans="2:29" ht="12.75" customHeight="1">
      <c r="B312" s="144"/>
      <c r="C312" s="144"/>
      <c r="D312" s="144"/>
      <c r="E312" s="144"/>
      <c r="F312" s="144"/>
      <c r="G312" s="144"/>
      <c r="H312" s="144"/>
      <c r="I312" s="144"/>
      <c r="J312" s="144"/>
      <c r="K312" s="144"/>
      <c r="L312" s="144"/>
      <c r="M312" s="144"/>
      <c r="N312" s="144"/>
      <c r="O312" s="144"/>
      <c r="P312" s="144"/>
      <c r="Q312" s="144"/>
      <c r="R312" s="144"/>
      <c r="S312" s="144"/>
      <c r="T312" s="144"/>
      <c r="U312" s="144"/>
      <c r="V312" s="160"/>
      <c r="W312" s="160"/>
      <c r="X312" s="160"/>
      <c r="Y312" s="160"/>
      <c r="Z312" s="160"/>
      <c r="AA312" s="160"/>
      <c r="AB312" s="160"/>
      <c r="AC312" s="160"/>
    </row>
    <row r="313" spans="2:29" ht="12.75" customHeight="1">
      <c r="B313" s="144"/>
      <c r="C313" s="144"/>
      <c r="D313" s="144"/>
      <c r="E313" s="144"/>
      <c r="F313" s="144"/>
      <c r="G313" s="144"/>
      <c r="H313" s="144"/>
      <c r="I313" s="144"/>
      <c r="J313" s="144"/>
      <c r="K313" s="144"/>
      <c r="L313" s="144"/>
      <c r="M313" s="144"/>
      <c r="N313" s="144"/>
      <c r="O313" s="144"/>
      <c r="P313" s="144"/>
      <c r="Q313" s="144"/>
      <c r="R313" s="144"/>
      <c r="S313" s="144"/>
      <c r="T313" s="144"/>
      <c r="U313" s="144"/>
      <c r="V313" s="160"/>
      <c r="W313" s="160"/>
      <c r="X313" s="160"/>
      <c r="Y313" s="160"/>
      <c r="Z313" s="160"/>
      <c r="AA313" s="160"/>
      <c r="AB313" s="160"/>
      <c r="AC313" s="160"/>
    </row>
    <row r="314" spans="2:29" ht="12.75" customHeight="1">
      <c r="B314" s="144"/>
      <c r="C314" s="144"/>
      <c r="D314" s="144"/>
      <c r="E314" s="144"/>
      <c r="F314" s="144"/>
      <c r="G314" s="144"/>
      <c r="H314" s="144"/>
      <c r="I314" s="144"/>
      <c r="J314" s="144"/>
      <c r="K314" s="144"/>
      <c r="L314" s="144"/>
      <c r="M314" s="144"/>
      <c r="N314" s="144"/>
      <c r="O314" s="144"/>
      <c r="P314" s="144"/>
      <c r="Q314" s="144"/>
      <c r="R314" s="144"/>
      <c r="S314" s="144"/>
      <c r="T314" s="144"/>
      <c r="U314" s="144"/>
      <c r="V314" s="160"/>
      <c r="W314" s="160"/>
      <c r="X314" s="160"/>
      <c r="Y314" s="160"/>
      <c r="Z314" s="160"/>
      <c r="AA314" s="160"/>
      <c r="AB314" s="160"/>
      <c r="AC314" s="160"/>
    </row>
    <row r="315" spans="2:29" ht="12.75" customHeight="1">
      <c r="B315" s="144"/>
      <c r="C315" s="144"/>
      <c r="D315" s="144"/>
      <c r="E315" s="144"/>
      <c r="F315" s="144"/>
      <c r="G315" s="144"/>
      <c r="H315" s="144"/>
      <c r="I315" s="144"/>
      <c r="J315" s="144"/>
      <c r="K315" s="144"/>
      <c r="L315" s="144"/>
      <c r="M315" s="144"/>
      <c r="N315" s="144"/>
      <c r="O315" s="144"/>
      <c r="P315" s="144"/>
      <c r="Q315" s="144"/>
      <c r="R315" s="144"/>
      <c r="S315" s="144"/>
      <c r="T315" s="144"/>
      <c r="U315" s="144"/>
      <c r="V315" s="160"/>
      <c r="W315" s="160"/>
      <c r="X315" s="160"/>
      <c r="Y315" s="160"/>
      <c r="Z315" s="160"/>
      <c r="AA315" s="160"/>
      <c r="AB315" s="160"/>
      <c r="AC315" s="160"/>
    </row>
    <row r="316" spans="2:29" ht="12.75" customHeight="1">
      <c r="B316" s="144"/>
      <c r="C316" s="144"/>
      <c r="D316" s="144"/>
      <c r="E316" s="144"/>
      <c r="F316" s="144"/>
      <c r="G316" s="144"/>
      <c r="H316" s="144"/>
      <c r="I316" s="144"/>
      <c r="J316" s="144"/>
      <c r="K316" s="144"/>
      <c r="L316" s="144"/>
      <c r="M316" s="144"/>
      <c r="N316" s="144"/>
      <c r="O316" s="144"/>
      <c r="P316" s="144"/>
      <c r="Q316" s="144"/>
      <c r="R316" s="144"/>
      <c r="S316" s="144"/>
      <c r="T316" s="144"/>
      <c r="U316" s="144"/>
      <c r="V316" s="160"/>
      <c r="W316" s="160"/>
      <c r="X316" s="160"/>
      <c r="Y316" s="160"/>
      <c r="Z316" s="160"/>
      <c r="AA316" s="160"/>
      <c r="AB316" s="160"/>
      <c r="AC316" s="160"/>
    </row>
    <row r="317" spans="2:29" ht="12.75" customHeight="1">
      <c r="B317" s="144"/>
      <c r="C317" s="144"/>
      <c r="D317" s="144"/>
      <c r="E317" s="144"/>
      <c r="F317" s="144"/>
      <c r="G317" s="144"/>
      <c r="H317" s="144"/>
      <c r="I317" s="144"/>
      <c r="J317" s="144"/>
      <c r="K317" s="144"/>
      <c r="L317" s="144"/>
      <c r="M317" s="144"/>
      <c r="N317" s="144"/>
      <c r="O317" s="144"/>
      <c r="P317" s="144"/>
      <c r="Q317" s="144"/>
      <c r="R317" s="144"/>
      <c r="S317" s="144"/>
      <c r="T317" s="144"/>
      <c r="U317" s="144"/>
      <c r="V317" s="160"/>
      <c r="W317" s="160"/>
      <c r="X317" s="160"/>
      <c r="Y317" s="160"/>
      <c r="Z317" s="160"/>
      <c r="AA317" s="160"/>
      <c r="AB317" s="160"/>
      <c r="AC317" s="160"/>
    </row>
    <row r="318" spans="2:29" ht="12.75" customHeight="1">
      <c r="B318" s="144"/>
      <c r="C318" s="144"/>
      <c r="D318" s="144"/>
      <c r="E318" s="144"/>
      <c r="F318" s="144"/>
      <c r="G318" s="144"/>
      <c r="H318" s="144"/>
      <c r="I318" s="144"/>
      <c r="J318" s="144"/>
      <c r="K318" s="144"/>
      <c r="L318" s="144"/>
      <c r="M318" s="144"/>
      <c r="N318" s="144"/>
      <c r="O318" s="144"/>
      <c r="P318" s="144"/>
      <c r="Q318" s="144"/>
      <c r="R318" s="144"/>
      <c r="S318" s="144"/>
      <c r="T318" s="144"/>
      <c r="U318" s="144"/>
      <c r="V318" s="160"/>
      <c r="W318" s="160"/>
      <c r="X318" s="160"/>
      <c r="Y318" s="160"/>
      <c r="Z318" s="160"/>
      <c r="AA318" s="160"/>
      <c r="AB318" s="160"/>
      <c r="AC318" s="160"/>
    </row>
    <row r="319" spans="2:29" ht="12.75" customHeight="1">
      <c r="B319" s="144"/>
      <c r="C319" s="144"/>
      <c r="D319" s="144"/>
      <c r="E319" s="144"/>
      <c r="F319" s="144"/>
      <c r="G319" s="144"/>
      <c r="H319" s="144"/>
      <c r="I319" s="144"/>
      <c r="J319" s="144"/>
      <c r="K319" s="144"/>
      <c r="L319" s="144"/>
      <c r="M319" s="144"/>
      <c r="N319" s="144"/>
      <c r="O319" s="144"/>
      <c r="P319" s="144"/>
      <c r="Q319" s="144"/>
      <c r="R319" s="144"/>
      <c r="S319" s="144"/>
      <c r="T319" s="144"/>
      <c r="U319" s="144"/>
      <c r="V319" s="160"/>
      <c r="W319" s="160"/>
      <c r="X319" s="160"/>
      <c r="Y319" s="160"/>
      <c r="Z319" s="160"/>
      <c r="AA319" s="160"/>
      <c r="AB319" s="160"/>
      <c r="AC319" s="160"/>
    </row>
    <row r="320" spans="2:29" ht="12.75" customHeight="1">
      <c r="B320" s="144"/>
      <c r="C320" s="144"/>
      <c r="D320" s="144"/>
      <c r="E320" s="144"/>
      <c r="F320" s="144"/>
      <c r="G320" s="144"/>
      <c r="H320" s="144"/>
      <c r="I320" s="144"/>
      <c r="J320" s="144"/>
      <c r="K320" s="144"/>
      <c r="L320" s="144"/>
      <c r="M320" s="144"/>
      <c r="N320" s="144"/>
      <c r="O320" s="144"/>
      <c r="P320" s="144"/>
      <c r="Q320" s="144"/>
      <c r="R320" s="144"/>
      <c r="S320" s="144"/>
      <c r="T320" s="144"/>
      <c r="U320" s="144"/>
      <c r="V320" s="160"/>
      <c r="W320" s="160"/>
      <c r="X320" s="160"/>
      <c r="Y320" s="160"/>
      <c r="Z320" s="160"/>
      <c r="AA320" s="160"/>
      <c r="AB320" s="160"/>
      <c r="AC320" s="160"/>
    </row>
    <row r="321" spans="2:29" ht="12.75" customHeight="1">
      <c r="B321" s="144"/>
      <c r="C321" s="144"/>
      <c r="D321" s="144"/>
      <c r="E321" s="144"/>
      <c r="F321" s="144"/>
      <c r="G321" s="144"/>
      <c r="H321" s="144"/>
      <c r="I321" s="144"/>
      <c r="J321" s="144"/>
      <c r="K321" s="144"/>
      <c r="L321" s="144"/>
      <c r="M321" s="144"/>
      <c r="N321" s="144"/>
      <c r="O321" s="144"/>
      <c r="P321" s="144"/>
      <c r="Q321" s="144"/>
      <c r="R321" s="144"/>
      <c r="S321" s="144"/>
      <c r="T321" s="144"/>
      <c r="U321" s="144"/>
      <c r="V321" s="160"/>
      <c r="W321" s="160"/>
      <c r="X321" s="160"/>
      <c r="Y321" s="160"/>
      <c r="Z321" s="160"/>
      <c r="AA321" s="160"/>
      <c r="AB321" s="160"/>
      <c r="AC321" s="160"/>
    </row>
    <row r="322" spans="2:29" ht="12.75" customHeight="1">
      <c r="B322" s="144"/>
      <c r="C322" s="144"/>
      <c r="D322" s="144"/>
      <c r="E322" s="144"/>
      <c r="F322" s="144"/>
      <c r="G322" s="144"/>
      <c r="H322" s="144"/>
      <c r="I322" s="144"/>
      <c r="J322" s="144"/>
      <c r="K322" s="144"/>
      <c r="L322" s="144"/>
      <c r="M322" s="144"/>
      <c r="N322" s="144"/>
      <c r="O322" s="144"/>
      <c r="P322" s="144"/>
      <c r="Q322" s="144"/>
      <c r="R322" s="144"/>
      <c r="S322" s="144"/>
      <c r="T322" s="144"/>
      <c r="U322" s="144"/>
      <c r="V322" s="160"/>
      <c r="W322" s="160"/>
      <c r="X322" s="160"/>
      <c r="Y322" s="160"/>
      <c r="Z322" s="160"/>
      <c r="AA322" s="160"/>
      <c r="AB322" s="160"/>
      <c r="AC322" s="160"/>
    </row>
    <row r="323" spans="2:29" ht="12.75" customHeight="1">
      <c r="B323" s="144"/>
      <c r="C323" s="144"/>
      <c r="D323" s="144"/>
      <c r="E323" s="144"/>
      <c r="F323" s="144"/>
      <c r="G323" s="144"/>
      <c r="H323" s="144"/>
      <c r="I323" s="144"/>
      <c r="J323" s="144"/>
      <c r="K323" s="144"/>
      <c r="L323" s="144"/>
      <c r="M323" s="144"/>
      <c r="N323" s="144"/>
      <c r="O323" s="144"/>
      <c r="P323" s="144"/>
      <c r="Q323" s="144"/>
      <c r="R323" s="144"/>
      <c r="S323" s="144"/>
      <c r="T323" s="144"/>
      <c r="U323" s="144"/>
      <c r="V323" s="160"/>
      <c r="W323" s="160"/>
      <c r="X323" s="160"/>
      <c r="Y323" s="160"/>
      <c r="Z323" s="160"/>
      <c r="AA323" s="160"/>
      <c r="AB323" s="160"/>
      <c r="AC323" s="160"/>
    </row>
    <row r="324" spans="2:29" ht="12.75" customHeight="1">
      <c r="B324" s="144"/>
      <c r="C324" s="144"/>
      <c r="D324" s="144"/>
      <c r="E324" s="144"/>
      <c r="F324" s="144"/>
      <c r="G324" s="144"/>
      <c r="H324" s="144"/>
      <c r="I324" s="144"/>
      <c r="J324" s="144"/>
      <c r="K324" s="144"/>
      <c r="L324" s="144"/>
      <c r="M324" s="144"/>
      <c r="N324" s="144"/>
      <c r="O324" s="144"/>
      <c r="P324" s="144"/>
      <c r="Q324" s="144"/>
      <c r="R324" s="144"/>
      <c r="S324" s="144"/>
      <c r="T324" s="144"/>
      <c r="U324" s="144"/>
      <c r="V324" s="160"/>
      <c r="W324" s="160"/>
      <c r="X324" s="160"/>
      <c r="Y324" s="160"/>
      <c r="Z324" s="160"/>
      <c r="AA324" s="160"/>
      <c r="AB324" s="160"/>
      <c r="AC324" s="160"/>
    </row>
    <row r="325" spans="2:29" ht="12.75" customHeight="1">
      <c r="B325" s="144"/>
      <c r="C325" s="144"/>
      <c r="D325" s="144"/>
      <c r="E325" s="144"/>
      <c r="F325" s="144"/>
      <c r="G325" s="144"/>
      <c r="H325" s="144"/>
      <c r="I325" s="144"/>
      <c r="J325" s="144"/>
      <c r="K325" s="144"/>
      <c r="L325" s="144"/>
      <c r="M325" s="144"/>
      <c r="N325" s="144"/>
      <c r="O325" s="144"/>
      <c r="P325" s="144"/>
      <c r="Q325" s="144"/>
      <c r="R325" s="144"/>
      <c r="S325" s="144"/>
      <c r="T325" s="144"/>
      <c r="U325" s="144"/>
      <c r="V325" s="160"/>
      <c r="W325" s="160"/>
      <c r="X325" s="160"/>
      <c r="Y325" s="160"/>
      <c r="Z325" s="160"/>
      <c r="AA325" s="160"/>
      <c r="AB325" s="160"/>
      <c r="AC325" s="160"/>
    </row>
    <row r="326" spans="2:29" ht="12.75" customHeight="1">
      <c r="B326" s="144"/>
      <c r="C326" s="144"/>
      <c r="D326" s="144"/>
      <c r="E326" s="144"/>
      <c r="F326" s="144"/>
      <c r="G326" s="144"/>
      <c r="H326" s="144"/>
      <c r="I326" s="144"/>
      <c r="J326" s="144"/>
      <c r="K326" s="144"/>
      <c r="L326" s="144"/>
      <c r="M326" s="144"/>
      <c r="N326" s="144"/>
      <c r="O326" s="144"/>
      <c r="P326" s="144"/>
      <c r="Q326" s="144"/>
      <c r="R326" s="144"/>
      <c r="S326" s="144"/>
      <c r="T326" s="144"/>
      <c r="U326" s="144"/>
      <c r="V326" s="160"/>
      <c r="W326" s="160"/>
      <c r="X326" s="160"/>
      <c r="Y326" s="160"/>
      <c r="Z326" s="160"/>
      <c r="AA326" s="160"/>
      <c r="AB326" s="160"/>
      <c r="AC326" s="160"/>
    </row>
    <row r="327" spans="2:29" ht="12.75" customHeight="1">
      <c r="B327" s="144"/>
      <c r="C327" s="144"/>
      <c r="D327" s="144"/>
      <c r="E327" s="144"/>
      <c r="F327" s="144"/>
      <c r="G327" s="144"/>
      <c r="H327" s="144"/>
      <c r="I327" s="144"/>
      <c r="J327" s="144"/>
      <c r="K327" s="144"/>
      <c r="L327" s="144"/>
      <c r="M327" s="144"/>
      <c r="N327" s="144"/>
      <c r="O327" s="144"/>
      <c r="P327" s="144"/>
      <c r="Q327" s="144"/>
      <c r="R327" s="144"/>
      <c r="S327" s="144"/>
      <c r="T327" s="144"/>
      <c r="U327" s="144"/>
      <c r="V327" s="160"/>
      <c r="W327" s="160"/>
      <c r="X327" s="160"/>
      <c r="Y327" s="160"/>
      <c r="Z327" s="160"/>
      <c r="AA327" s="160"/>
      <c r="AB327" s="160"/>
      <c r="AC327" s="160"/>
    </row>
    <row r="328" spans="2:29" ht="12.75" customHeight="1">
      <c r="B328" s="144"/>
      <c r="C328" s="144"/>
      <c r="D328" s="144"/>
      <c r="E328" s="144"/>
      <c r="F328" s="144"/>
      <c r="G328" s="144"/>
      <c r="H328" s="144"/>
      <c r="I328" s="144"/>
      <c r="J328" s="144"/>
      <c r="K328" s="144"/>
      <c r="L328" s="144"/>
      <c r="M328" s="144"/>
      <c r="N328" s="144"/>
      <c r="O328" s="144"/>
      <c r="P328" s="144"/>
      <c r="Q328" s="144"/>
      <c r="R328" s="144"/>
      <c r="S328" s="144"/>
      <c r="T328" s="144"/>
      <c r="U328" s="144"/>
      <c r="V328" s="160"/>
      <c r="W328" s="160"/>
      <c r="X328" s="160"/>
      <c r="Y328" s="160"/>
      <c r="Z328" s="160"/>
      <c r="AA328" s="160"/>
      <c r="AB328" s="160"/>
      <c r="AC328" s="160"/>
    </row>
    <row r="329" spans="2:29" ht="12.75" customHeight="1">
      <c r="B329" s="144"/>
      <c r="C329" s="144"/>
      <c r="D329" s="144"/>
      <c r="E329" s="144"/>
      <c r="F329" s="144"/>
      <c r="G329" s="144"/>
      <c r="H329" s="144"/>
      <c r="I329" s="144"/>
      <c r="J329" s="144"/>
      <c r="K329" s="144"/>
      <c r="L329" s="144"/>
      <c r="M329" s="144"/>
      <c r="N329" s="144"/>
      <c r="O329" s="144"/>
      <c r="P329" s="144"/>
      <c r="Q329" s="144"/>
      <c r="R329" s="144"/>
      <c r="S329" s="144"/>
      <c r="T329" s="144"/>
      <c r="U329" s="144"/>
      <c r="V329" s="160"/>
      <c r="W329" s="160"/>
      <c r="X329" s="160"/>
      <c r="Y329" s="160"/>
      <c r="Z329" s="160"/>
      <c r="AA329" s="160"/>
      <c r="AB329" s="160"/>
      <c r="AC329" s="160"/>
    </row>
    <row r="330" spans="2:29" ht="12.75" customHeight="1">
      <c r="B330" s="144"/>
      <c r="C330" s="144"/>
      <c r="D330" s="144"/>
      <c r="E330" s="144"/>
      <c r="F330" s="144"/>
      <c r="G330" s="144"/>
      <c r="H330" s="144"/>
      <c r="I330" s="144"/>
      <c r="J330" s="144"/>
      <c r="K330" s="144"/>
      <c r="L330" s="144"/>
      <c r="M330" s="144"/>
      <c r="N330" s="144"/>
      <c r="O330" s="144"/>
      <c r="P330" s="144"/>
      <c r="Q330" s="144"/>
      <c r="R330" s="144"/>
      <c r="S330" s="144"/>
      <c r="T330" s="144"/>
      <c r="U330" s="144"/>
      <c r="V330" s="160"/>
      <c r="W330" s="160"/>
      <c r="X330" s="160"/>
      <c r="Y330" s="160"/>
      <c r="Z330" s="160"/>
      <c r="AA330" s="160"/>
      <c r="AB330" s="160"/>
      <c r="AC330" s="160"/>
    </row>
    <row r="331" spans="2:29" ht="12.75" customHeight="1">
      <c r="B331" s="144"/>
      <c r="C331" s="144"/>
      <c r="D331" s="144"/>
      <c r="E331" s="144"/>
      <c r="F331" s="144"/>
      <c r="G331" s="144"/>
      <c r="H331" s="144"/>
      <c r="I331" s="144"/>
      <c r="J331" s="144"/>
      <c r="K331" s="144"/>
      <c r="L331" s="144"/>
      <c r="M331" s="144"/>
      <c r="N331" s="144"/>
      <c r="O331" s="144"/>
      <c r="P331" s="144"/>
      <c r="Q331" s="144"/>
      <c r="R331" s="144"/>
      <c r="S331" s="144"/>
      <c r="T331" s="144"/>
      <c r="U331" s="144"/>
      <c r="V331" s="160"/>
      <c r="W331" s="160"/>
      <c r="X331" s="160"/>
      <c r="Y331" s="160"/>
      <c r="Z331" s="160"/>
      <c r="AA331" s="160"/>
      <c r="AB331" s="160"/>
      <c r="AC331" s="160"/>
    </row>
    <row r="332" spans="2:29" ht="12.75" customHeight="1">
      <c r="B332" s="144"/>
      <c r="C332" s="144"/>
      <c r="D332" s="144"/>
      <c r="E332" s="144"/>
      <c r="F332" s="144"/>
      <c r="G332" s="144"/>
      <c r="H332" s="144"/>
      <c r="I332" s="144"/>
      <c r="J332" s="144"/>
      <c r="K332" s="144"/>
      <c r="L332" s="144"/>
      <c r="M332" s="144"/>
      <c r="N332" s="144"/>
      <c r="O332" s="144"/>
      <c r="P332" s="144"/>
      <c r="Q332" s="144"/>
      <c r="R332" s="144"/>
      <c r="S332" s="144"/>
      <c r="T332" s="144"/>
      <c r="U332" s="144"/>
      <c r="V332" s="160"/>
      <c r="W332" s="160"/>
      <c r="X332" s="160"/>
      <c r="Y332" s="160"/>
      <c r="Z332" s="160"/>
      <c r="AA332" s="160"/>
      <c r="AB332" s="160"/>
      <c r="AC332" s="160"/>
    </row>
    <row r="333" spans="2:29" ht="12.75" customHeight="1">
      <c r="B333" s="144"/>
      <c r="C333" s="144"/>
      <c r="D333" s="144"/>
      <c r="E333" s="144"/>
      <c r="F333" s="144"/>
      <c r="G333" s="144"/>
      <c r="H333" s="144"/>
      <c r="I333" s="144"/>
      <c r="J333" s="144"/>
      <c r="K333" s="144"/>
      <c r="L333" s="144"/>
      <c r="M333" s="144"/>
      <c r="N333" s="144"/>
      <c r="O333" s="144"/>
      <c r="P333" s="144"/>
      <c r="Q333" s="144"/>
      <c r="R333" s="144"/>
      <c r="S333" s="144"/>
      <c r="T333" s="144"/>
      <c r="U333" s="144"/>
      <c r="V333" s="160"/>
      <c r="W333" s="160"/>
      <c r="X333" s="160"/>
      <c r="Y333" s="160"/>
      <c r="Z333" s="160"/>
      <c r="AA333" s="160"/>
      <c r="AB333" s="160"/>
      <c r="AC333" s="160"/>
    </row>
    <row r="334" spans="2:29" ht="12.75" customHeight="1">
      <c r="B334" s="144"/>
      <c r="C334" s="144"/>
      <c r="D334" s="144"/>
      <c r="E334" s="144"/>
      <c r="F334" s="144"/>
      <c r="G334" s="144"/>
      <c r="H334" s="144"/>
      <c r="I334" s="144"/>
      <c r="J334" s="144"/>
      <c r="K334" s="144"/>
      <c r="L334" s="144"/>
      <c r="M334" s="144"/>
      <c r="N334" s="144"/>
      <c r="O334" s="144"/>
      <c r="P334" s="144"/>
      <c r="Q334" s="144"/>
      <c r="R334" s="144"/>
      <c r="S334" s="144"/>
      <c r="T334" s="144"/>
      <c r="U334" s="144"/>
      <c r="V334" s="160"/>
      <c r="W334" s="160"/>
      <c r="X334" s="160"/>
      <c r="Y334" s="160"/>
      <c r="Z334" s="160"/>
      <c r="AA334" s="160"/>
      <c r="AB334" s="160"/>
      <c r="AC334" s="160"/>
    </row>
    <row r="335" spans="2:29" ht="12.75" customHeight="1">
      <c r="B335" s="144"/>
      <c r="C335" s="144"/>
      <c r="D335" s="144"/>
      <c r="E335" s="144"/>
      <c r="F335" s="144"/>
      <c r="G335" s="144"/>
      <c r="H335" s="144"/>
      <c r="I335" s="144"/>
      <c r="J335" s="144"/>
      <c r="K335" s="144"/>
      <c r="L335" s="144"/>
      <c r="M335" s="144"/>
      <c r="N335" s="144"/>
      <c r="O335" s="144"/>
      <c r="P335" s="144"/>
      <c r="Q335" s="144"/>
      <c r="R335" s="144"/>
      <c r="S335" s="144"/>
      <c r="T335" s="144"/>
      <c r="U335" s="144"/>
      <c r="V335" s="160"/>
      <c r="W335" s="160"/>
      <c r="X335" s="160"/>
      <c r="Y335" s="160"/>
      <c r="Z335" s="160"/>
      <c r="AA335" s="160"/>
      <c r="AB335" s="160"/>
      <c r="AC335" s="160"/>
    </row>
    <row r="336" spans="2:29" ht="12.75" customHeight="1">
      <c r="B336" s="144"/>
      <c r="C336" s="144"/>
      <c r="D336" s="144"/>
      <c r="E336" s="144"/>
      <c r="F336" s="144"/>
      <c r="G336" s="144"/>
      <c r="H336" s="144"/>
      <c r="I336" s="144"/>
      <c r="J336" s="144"/>
      <c r="K336" s="144"/>
      <c r="L336" s="144"/>
      <c r="M336" s="144"/>
      <c r="N336" s="144"/>
      <c r="O336" s="144"/>
      <c r="P336" s="144"/>
      <c r="Q336" s="144"/>
      <c r="R336" s="144"/>
      <c r="S336" s="144"/>
      <c r="T336" s="144"/>
      <c r="U336" s="144"/>
      <c r="V336" s="160"/>
      <c r="W336" s="160"/>
      <c r="X336" s="160"/>
      <c r="Y336" s="160"/>
      <c r="Z336" s="160"/>
      <c r="AA336" s="160"/>
      <c r="AB336" s="160"/>
      <c r="AC336" s="160"/>
    </row>
    <row r="337" spans="2:29" ht="12.75" customHeight="1">
      <c r="B337" s="144"/>
      <c r="C337" s="144"/>
      <c r="D337" s="144"/>
      <c r="E337" s="144"/>
      <c r="F337" s="144"/>
      <c r="G337" s="144"/>
      <c r="H337" s="144"/>
      <c r="I337" s="144"/>
      <c r="J337" s="144"/>
      <c r="K337" s="144"/>
      <c r="L337" s="144"/>
      <c r="M337" s="144"/>
      <c r="N337" s="144"/>
      <c r="O337" s="144"/>
      <c r="P337" s="144"/>
      <c r="Q337" s="144"/>
      <c r="R337" s="144"/>
      <c r="S337" s="144"/>
      <c r="T337" s="144"/>
      <c r="U337" s="144"/>
      <c r="V337" s="160"/>
      <c r="W337" s="160"/>
      <c r="X337" s="160"/>
      <c r="Y337" s="160"/>
      <c r="Z337" s="160"/>
      <c r="AA337" s="160"/>
      <c r="AB337" s="160"/>
      <c r="AC337" s="160"/>
    </row>
    <row r="338" spans="2:29" ht="12.75" customHeight="1">
      <c r="B338" s="144"/>
      <c r="C338" s="144"/>
      <c r="D338" s="144"/>
      <c r="E338" s="144"/>
      <c r="F338" s="144"/>
      <c r="G338" s="144"/>
      <c r="H338" s="144"/>
      <c r="I338" s="144"/>
      <c r="J338" s="144"/>
      <c r="K338" s="144"/>
      <c r="L338" s="144"/>
      <c r="M338" s="144"/>
      <c r="N338" s="144"/>
      <c r="O338" s="144"/>
      <c r="P338" s="144"/>
      <c r="Q338" s="144"/>
      <c r="R338" s="144"/>
      <c r="S338" s="144"/>
      <c r="T338" s="144"/>
      <c r="U338" s="144"/>
      <c r="V338" s="160"/>
      <c r="W338" s="160"/>
      <c r="X338" s="160"/>
      <c r="Y338" s="160"/>
      <c r="Z338" s="160"/>
      <c r="AA338" s="160"/>
      <c r="AB338" s="160"/>
      <c r="AC338" s="160"/>
    </row>
    <row r="339" spans="2:29" ht="12.75" customHeight="1">
      <c r="B339" s="144"/>
      <c r="C339" s="144"/>
      <c r="D339" s="144"/>
      <c r="E339" s="144"/>
      <c r="F339" s="144"/>
      <c r="G339" s="144"/>
      <c r="H339" s="144"/>
      <c r="I339" s="144"/>
      <c r="J339" s="144"/>
      <c r="K339" s="144"/>
      <c r="L339" s="144"/>
      <c r="M339" s="144"/>
      <c r="N339" s="144"/>
      <c r="O339" s="144"/>
      <c r="P339" s="144"/>
      <c r="Q339" s="144"/>
      <c r="R339" s="144"/>
      <c r="S339" s="144"/>
      <c r="T339" s="144"/>
      <c r="U339" s="144"/>
      <c r="V339" s="160"/>
      <c r="W339" s="160"/>
      <c r="X339" s="160"/>
      <c r="Y339" s="160"/>
      <c r="Z339" s="160"/>
      <c r="AA339" s="160"/>
      <c r="AB339" s="160"/>
      <c r="AC339" s="160"/>
    </row>
    <row r="340" spans="2:29" ht="12.75" customHeight="1">
      <c r="B340" s="144"/>
      <c r="C340" s="144"/>
      <c r="D340" s="144"/>
      <c r="E340" s="144"/>
      <c r="F340" s="144"/>
      <c r="G340" s="144"/>
      <c r="H340" s="144"/>
      <c r="I340" s="144"/>
      <c r="J340" s="144"/>
      <c r="K340" s="144"/>
      <c r="L340" s="144"/>
      <c r="M340" s="144"/>
      <c r="N340" s="144"/>
      <c r="O340" s="144"/>
      <c r="P340" s="144"/>
      <c r="Q340" s="144"/>
      <c r="R340" s="144"/>
      <c r="S340" s="144"/>
      <c r="T340" s="144"/>
      <c r="U340" s="144"/>
      <c r="V340" s="160"/>
      <c r="W340" s="160"/>
      <c r="X340" s="160"/>
      <c r="Y340" s="160"/>
      <c r="Z340" s="160"/>
      <c r="AA340" s="160"/>
      <c r="AB340" s="160"/>
      <c r="AC340" s="160"/>
    </row>
    <row r="341" spans="2:29" ht="12.75" customHeight="1">
      <c r="B341" s="144"/>
      <c r="C341" s="144"/>
      <c r="D341" s="144"/>
      <c r="E341" s="144"/>
      <c r="F341" s="144"/>
      <c r="G341" s="144"/>
      <c r="H341" s="144"/>
      <c r="I341" s="144"/>
      <c r="J341" s="144"/>
      <c r="K341" s="144"/>
      <c r="L341" s="144"/>
      <c r="M341" s="144"/>
      <c r="N341" s="144"/>
      <c r="O341" s="144"/>
      <c r="P341" s="144"/>
      <c r="Q341" s="144"/>
      <c r="R341" s="144"/>
      <c r="S341" s="144"/>
      <c r="T341" s="144"/>
      <c r="U341" s="144"/>
      <c r="V341" s="160"/>
      <c r="W341" s="160"/>
      <c r="X341" s="160"/>
      <c r="Y341" s="160"/>
      <c r="Z341" s="160"/>
      <c r="AA341" s="160"/>
      <c r="AB341" s="160"/>
      <c r="AC341" s="160"/>
    </row>
    <row r="342" spans="2:29" ht="12.75" customHeight="1">
      <c r="B342" s="144"/>
      <c r="C342" s="144"/>
      <c r="D342" s="144"/>
      <c r="E342" s="144"/>
      <c r="F342" s="144"/>
      <c r="G342" s="144"/>
      <c r="H342" s="144"/>
      <c r="I342" s="144"/>
      <c r="J342" s="144"/>
      <c r="K342" s="144"/>
      <c r="L342" s="144"/>
      <c r="M342" s="144"/>
      <c r="N342" s="144"/>
      <c r="O342" s="144"/>
      <c r="P342" s="144"/>
      <c r="Q342" s="144"/>
      <c r="R342" s="144"/>
      <c r="S342" s="144"/>
      <c r="T342" s="144"/>
      <c r="U342" s="144"/>
      <c r="V342" s="160"/>
      <c r="W342" s="160"/>
      <c r="X342" s="160"/>
      <c r="Y342" s="160"/>
      <c r="Z342" s="160"/>
      <c r="AA342" s="160"/>
      <c r="AB342" s="160"/>
      <c r="AC342" s="160"/>
    </row>
    <row r="343" spans="2:29" ht="12">
      <c r="B343" s="144"/>
      <c r="C343" s="144"/>
      <c r="D343" s="144"/>
      <c r="E343" s="144"/>
      <c r="F343" s="144"/>
      <c r="G343" s="144"/>
      <c r="H343" s="144"/>
      <c r="I343" s="144"/>
      <c r="J343" s="144"/>
      <c r="K343" s="144"/>
      <c r="L343" s="144"/>
      <c r="M343" s="144"/>
      <c r="N343" s="144"/>
      <c r="O343" s="144"/>
      <c r="P343" s="144"/>
      <c r="Q343" s="144"/>
      <c r="R343" s="144"/>
      <c r="S343" s="144"/>
      <c r="T343" s="144"/>
      <c r="U343" s="144"/>
      <c r="V343" s="160"/>
      <c r="W343" s="160"/>
      <c r="X343" s="160"/>
      <c r="Y343" s="160"/>
      <c r="Z343" s="160"/>
      <c r="AA343" s="160"/>
      <c r="AB343" s="160"/>
      <c r="AC343" s="160"/>
    </row>
    <row r="344" spans="2:29" ht="12">
      <c r="B344" s="144"/>
      <c r="C344" s="144"/>
      <c r="D344" s="144"/>
      <c r="E344" s="144"/>
      <c r="F344" s="144"/>
      <c r="G344" s="144"/>
      <c r="H344" s="144"/>
      <c r="I344" s="144"/>
      <c r="J344" s="144"/>
      <c r="K344" s="144"/>
      <c r="L344" s="144"/>
      <c r="M344" s="144"/>
      <c r="N344" s="144"/>
      <c r="O344" s="144"/>
      <c r="P344" s="144"/>
      <c r="Q344" s="144"/>
      <c r="R344" s="144"/>
      <c r="S344" s="144"/>
      <c r="T344" s="144"/>
      <c r="U344" s="144"/>
      <c r="V344" s="160"/>
      <c r="W344" s="160"/>
      <c r="X344" s="160"/>
      <c r="Y344" s="160"/>
      <c r="Z344" s="160"/>
      <c r="AA344" s="160"/>
      <c r="AB344" s="160"/>
      <c r="AC344" s="160"/>
    </row>
    <row r="345" spans="2:29" ht="12">
      <c r="B345" s="144"/>
      <c r="C345" s="144"/>
      <c r="D345" s="144"/>
      <c r="E345" s="144"/>
      <c r="F345" s="144"/>
      <c r="G345" s="144"/>
      <c r="H345" s="144"/>
      <c r="I345" s="144"/>
      <c r="J345" s="144"/>
      <c r="K345" s="144"/>
      <c r="L345" s="144"/>
      <c r="M345" s="144"/>
      <c r="N345" s="144"/>
      <c r="O345" s="144"/>
      <c r="P345" s="144"/>
      <c r="Q345" s="144"/>
      <c r="R345" s="144"/>
      <c r="S345" s="144"/>
      <c r="T345" s="144"/>
      <c r="U345" s="144"/>
      <c r="V345" s="160"/>
      <c r="W345" s="160"/>
      <c r="X345" s="160"/>
      <c r="Y345" s="160"/>
      <c r="Z345" s="160"/>
      <c r="AA345" s="160"/>
      <c r="AB345" s="160"/>
      <c r="AC345" s="160"/>
    </row>
    <row r="346" spans="2:29" ht="12">
      <c r="B346" s="144"/>
      <c r="C346" s="144"/>
      <c r="D346" s="144"/>
      <c r="E346" s="144"/>
      <c r="F346" s="144"/>
      <c r="G346" s="144"/>
      <c r="H346" s="144"/>
      <c r="I346" s="144"/>
      <c r="J346" s="144"/>
      <c r="K346" s="144"/>
      <c r="L346" s="144"/>
      <c r="M346" s="144"/>
      <c r="N346" s="144"/>
      <c r="O346" s="144"/>
      <c r="P346" s="144"/>
      <c r="Q346" s="144"/>
      <c r="R346" s="144"/>
      <c r="S346" s="144"/>
      <c r="T346" s="144"/>
      <c r="U346" s="144"/>
      <c r="V346" s="160"/>
      <c r="W346" s="160"/>
      <c r="X346" s="160"/>
      <c r="Y346" s="160"/>
      <c r="Z346" s="160"/>
      <c r="AA346" s="160"/>
      <c r="AB346" s="160"/>
      <c r="AC346" s="160"/>
    </row>
    <row r="347" spans="2:29" ht="12">
      <c r="B347" s="144"/>
      <c r="C347" s="144"/>
      <c r="D347" s="144"/>
      <c r="E347" s="144"/>
      <c r="F347" s="144"/>
      <c r="G347" s="144"/>
      <c r="H347" s="144"/>
      <c r="I347" s="144"/>
      <c r="J347" s="144"/>
      <c r="K347" s="144"/>
      <c r="L347" s="144"/>
      <c r="M347" s="144"/>
      <c r="N347" s="144"/>
      <c r="O347" s="144"/>
      <c r="P347" s="144"/>
      <c r="Q347" s="144"/>
      <c r="R347" s="144"/>
      <c r="S347" s="144"/>
      <c r="T347" s="144"/>
      <c r="U347" s="144"/>
      <c r="V347" s="160"/>
      <c r="W347" s="160"/>
      <c r="X347" s="160"/>
      <c r="Y347" s="160"/>
      <c r="Z347" s="160"/>
      <c r="AA347" s="160"/>
      <c r="AB347" s="160"/>
      <c r="AC347" s="160"/>
    </row>
    <row r="348" spans="2:29" ht="12">
      <c r="B348" s="144"/>
      <c r="C348" s="144"/>
      <c r="D348" s="144"/>
      <c r="E348" s="144"/>
      <c r="F348" s="144"/>
      <c r="G348" s="144"/>
      <c r="H348" s="144"/>
      <c r="I348" s="144"/>
      <c r="J348" s="144"/>
      <c r="K348" s="144"/>
      <c r="L348" s="144"/>
      <c r="M348" s="144"/>
      <c r="N348" s="144"/>
      <c r="O348" s="144"/>
      <c r="P348" s="144"/>
      <c r="Q348" s="144"/>
      <c r="R348" s="144"/>
      <c r="S348" s="144"/>
      <c r="T348" s="144"/>
      <c r="U348" s="144"/>
      <c r="V348" s="160"/>
      <c r="W348" s="160"/>
      <c r="X348" s="160"/>
      <c r="Y348" s="160"/>
      <c r="Z348" s="160"/>
      <c r="AA348" s="160"/>
      <c r="AB348" s="160"/>
      <c r="AC348" s="160"/>
    </row>
    <row r="349" spans="2:29" ht="12">
      <c r="B349" s="144"/>
      <c r="C349" s="144"/>
      <c r="D349" s="144"/>
      <c r="E349" s="144"/>
      <c r="F349" s="144"/>
      <c r="G349" s="144"/>
      <c r="H349" s="144"/>
      <c r="I349" s="144"/>
      <c r="J349" s="144"/>
      <c r="K349" s="144"/>
      <c r="L349" s="144"/>
      <c r="M349" s="144"/>
      <c r="N349" s="144"/>
      <c r="O349" s="144"/>
      <c r="P349" s="144"/>
      <c r="Q349" s="144"/>
      <c r="R349" s="144"/>
      <c r="S349" s="144"/>
      <c r="T349" s="144"/>
      <c r="U349" s="144"/>
      <c r="V349" s="160"/>
      <c r="W349" s="160"/>
      <c r="X349" s="160"/>
      <c r="Y349" s="160"/>
      <c r="Z349" s="160"/>
      <c r="AA349" s="160"/>
      <c r="AB349" s="160"/>
      <c r="AC349" s="160"/>
    </row>
    <row r="350" spans="2:29" ht="12">
      <c r="B350" s="144"/>
      <c r="C350" s="144"/>
      <c r="D350" s="144"/>
      <c r="E350" s="144"/>
      <c r="F350" s="144"/>
      <c r="G350" s="144"/>
      <c r="H350" s="144"/>
      <c r="I350" s="144"/>
      <c r="J350" s="144"/>
      <c r="K350" s="144"/>
      <c r="L350" s="144"/>
      <c r="M350" s="144"/>
      <c r="N350" s="144"/>
      <c r="O350" s="144"/>
      <c r="P350" s="144"/>
      <c r="Q350" s="144"/>
      <c r="R350" s="144"/>
      <c r="S350" s="144"/>
      <c r="T350" s="144"/>
      <c r="U350" s="144"/>
      <c r="V350" s="160"/>
      <c r="W350" s="160"/>
      <c r="X350" s="160"/>
      <c r="Y350" s="160"/>
      <c r="Z350" s="160"/>
      <c r="AA350" s="160"/>
      <c r="AB350" s="160"/>
      <c r="AC350" s="160"/>
    </row>
    <row r="351" spans="2:29" ht="12">
      <c r="B351" s="144"/>
      <c r="C351" s="144"/>
      <c r="D351" s="144"/>
      <c r="E351" s="144"/>
      <c r="F351" s="144"/>
      <c r="G351" s="144"/>
      <c r="H351" s="144"/>
      <c r="I351" s="144"/>
      <c r="J351" s="144"/>
      <c r="K351" s="144"/>
      <c r="L351" s="144"/>
      <c r="M351" s="144"/>
      <c r="N351" s="144"/>
      <c r="O351" s="144"/>
      <c r="P351" s="144"/>
      <c r="Q351" s="144"/>
      <c r="R351" s="144"/>
      <c r="S351" s="144"/>
      <c r="T351" s="144"/>
      <c r="U351" s="144"/>
      <c r="V351" s="160"/>
      <c r="W351" s="160"/>
      <c r="X351" s="160"/>
      <c r="Y351" s="160"/>
      <c r="Z351" s="160"/>
      <c r="AA351" s="160"/>
      <c r="AB351" s="160"/>
      <c r="AC351" s="160"/>
    </row>
    <row r="352" spans="2:29" ht="12">
      <c r="B352" s="144"/>
      <c r="C352" s="144"/>
      <c r="D352" s="144"/>
      <c r="E352" s="144"/>
      <c r="F352" s="144"/>
      <c r="G352" s="144"/>
      <c r="H352" s="144"/>
      <c r="I352" s="144"/>
      <c r="J352" s="144"/>
      <c r="K352" s="144"/>
      <c r="L352" s="144"/>
      <c r="M352" s="144"/>
      <c r="N352" s="144"/>
      <c r="O352" s="144"/>
      <c r="P352" s="144"/>
      <c r="Q352" s="144"/>
      <c r="R352" s="144"/>
      <c r="S352" s="144"/>
      <c r="T352" s="144"/>
      <c r="U352" s="144"/>
      <c r="V352" s="160"/>
      <c r="W352" s="160"/>
      <c r="X352" s="160"/>
      <c r="Y352" s="160"/>
      <c r="Z352" s="160"/>
      <c r="AA352" s="160"/>
      <c r="AB352" s="160"/>
      <c r="AC352" s="160"/>
    </row>
    <row r="353" spans="2:29" ht="12">
      <c r="B353" s="144"/>
      <c r="C353" s="144"/>
      <c r="D353" s="144"/>
      <c r="E353" s="144"/>
      <c r="F353" s="144"/>
      <c r="G353" s="144"/>
      <c r="H353" s="144"/>
      <c r="I353" s="144"/>
      <c r="J353" s="144"/>
      <c r="K353" s="144"/>
      <c r="L353" s="144"/>
      <c r="M353" s="144"/>
      <c r="N353" s="144"/>
      <c r="O353" s="144"/>
      <c r="P353" s="144"/>
      <c r="Q353" s="144"/>
      <c r="R353" s="144"/>
      <c r="S353" s="144"/>
      <c r="T353" s="144"/>
      <c r="U353" s="144"/>
      <c r="V353" s="160"/>
      <c r="W353" s="160"/>
      <c r="X353" s="160"/>
      <c r="Y353" s="160"/>
      <c r="Z353" s="160"/>
      <c r="AA353" s="160"/>
      <c r="AB353" s="160"/>
      <c r="AC353" s="160"/>
    </row>
    <row r="354" spans="2:29" ht="12">
      <c r="B354" s="144"/>
      <c r="C354" s="144"/>
      <c r="D354" s="144"/>
      <c r="E354" s="144"/>
      <c r="F354" s="144"/>
      <c r="G354" s="144"/>
      <c r="H354" s="144"/>
      <c r="I354" s="144"/>
      <c r="J354" s="144"/>
      <c r="K354" s="144"/>
      <c r="L354" s="144"/>
      <c r="M354" s="144"/>
      <c r="N354" s="144"/>
      <c r="O354" s="144"/>
      <c r="P354" s="144"/>
      <c r="Q354" s="144"/>
      <c r="R354" s="144"/>
      <c r="S354" s="144"/>
      <c r="T354" s="144"/>
      <c r="U354" s="144"/>
      <c r="V354" s="160"/>
      <c r="W354" s="160"/>
      <c r="X354" s="160"/>
      <c r="Y354" s="160"/>
      <c r="Z354" s="160"/>
      <c r="AA354" s="160"/>
      <c r="AB354" s="160"/>
      <c r="AC354" s="160"/>
    </row>
    <row r="355" spans="2:29" ht="12">
      <c r="B355" s="144"/>
      <c r="C355" s="144"/>
      <c r="D355" s="144"/>
      <c r="E355" s="144"/>
      <c r="F355" s="144"/>
      <c r="G355" s="144"/>
      <c r="H355" s="144"/>
      <c r="I355" s="144"/>
      <c r="J355" s="144"/>
      <c r="K355" s="144"/>
      <c r="L355" s="144"/>
      <c r="M355" s="144"/>
      <c r="N355" s="144"/>
      <c r="O355" s="144"/>
      <c r="P355" s="144"/>
      <c r="Q355" s="144"/>
      <c r="R355" s="144"/>
      <c r="S355" s="144"/>
      <c r="T355" s="144"/>
      <c r="U355" s="144"/>
      <c r="V355" s="160"/>
      <c r="W355" s="160"/>
      <c r="X355" s="160"/>
      <c r="Y355" s="160"/>
      <c r="Z355" s="160"/>
      <c r="AA355" s="160"/>
      <c r="AB355" s="160"/>
      <c r="AC355" s="160"/>
    </row>
    <row r="356" spans="2:29" ht="12">
      <c r="B356" s="144"/>
      <c r="C356" s="144"/>
      <c r="D356" s="144"/>
      <c r="E356" s="144"/>
      <c r="F356" s="144"/>
      <c r="G356" s="144"/>
      <c r="H356" s="144"/>
      <c r="I356" s="144"/>
      <c r="J356" s="144"/>
      <c r="K356" s="144"/>
      <c r="L356" s="144"/>
      <c r="M356" s="144"/>
      <c r="N356" s="144"/>
      <c r="O356" s="144"/>
      <c r="P356" s="144"/>
      <c r="Q356" s="144"/>
      <c r="R356" s="144"/>
      <c r="S356" s="144"/>
      <c r="T356" s="144"/>
      <c r="U356" s="144"/>
      <c r="V356" s="160"/>
      <c r="W356" s="160"/>
      <c r="X356" s="160"/>
      <c r="Y356" s="160"/>
      <c r="Z356" s="160"/>
      <c r="AA356" s="160"/>
      <c r="AB356" s="160"/>
      <c r="AC356" s="160"/>
    </row>
    <row r="357" spans="2:29" ht="12">
      <c r="B357" s="144"/>
      <c r="C357" s="144"/>
      <c r="D357" s="144"/>
      <c r="E357" s="144"/>
      <c r="F357" s="144"/>
      <c r="G357" s="144"/>
      <c r="H357" s="144"/>
      <c r="I357" s="144"/>
      <c r="J357" s="144"/>
      <c r="K357" s="144"/>
      <c r="L357" s="144"/>
      <c r="M357" s="144"/>
      <c r="N357" s="144"/>
      <c r="O357" s="144"/>
      <c r="P357" s="144"/>
      <c r="Q357" s="144"/>
      <c r="R357" s="144"/>
      <c r="S357" s="144"/>
      <c r="T357" s="144"/>
      <c r="U357" s="144"/>
      <c r="V357" s="160"/>
      <c r="W357" s="160"/>
      <c r="X357" s="160"/>
      <c r="Y357" s="160"/>
      <c r="Z357" s="160"/>
      <c r="AA357" s="160"/>
      <c r="AB357" s="160"/>
      <c r="AC357" s="160"/>
    </row>
    <row r="358" spans="2:29" ht="12">
      <c r="B358" s="144"/>
      <c r="C358" s="144"/>
      <c r="D358" s="144"/>
      <c r="E358" s="144"/>
      <c r="F358" s="144"/>
      <c r="G358" s="144"/>
      <c r="H358" s="144"/>
      <c r="I358" s="144"/>
      <c r="J358" s="144"/>
      <c r="K358" s="144"/>
      <c r="L358" s="144"/>
      <c r="M358" s="144"/>
      <c r="N358" s="144"/>
      <c r="O358" s="144"/>
      <c r="P358" s="144"/>
      <c r="Q358" s="144"/>
      <c r="R358" s="144"/>
      <c r="S358" s="144"/>
      <c r="T358" s="144"/>
      <c r="U358" s="144"/>
      <c r="V358" s="160"/>
      <c r="W358" s="160"/>
      <c r="X358" s="160"/>
      <c r="Y358" s="160"/>
      <c r="Z358" s="160"/>
      <c r="AA358" s="160"/>
      <c r="AB358" s="160"/>
      <c r="AC358" s="160"/>
    </row>
    <row r="359" spans="2:29" ht="12">
      <c r="B359" s="144"/>
      <c r="C359" s="144"/>
      <c r="D359" s="144"/>
      <c r="E359" s="144"/>
      <c r="F359" s="144"/>
      <c r="G359" s="144"/>
      <c r="H359" s="144"/>
      <c r="I359" s="144"/>
      <c r="J359" s="144"/>
      <c r="K359" s="144"/>
      <c r="L359" s="144"/>
      <c r="M359" s="144"/>
      <c r="N359" s="144"/>
      <c r="O359" s="144"/>
      <c r="P359" s="144"/>
      <c r="Q359" s="144"/>
      <c r="R359" s="144"/>
      <c r="S359" s="144"/>
      <c r="T359" s="144"/>
      <c r="U359" s="144"/>
      <c r="V359" s="160"/>
      <c r="W359" s="160"/>
      <c r="X359" s="160"/>
      <c r="Y359" s="160"/>
      <c r="Z359" s="160"/>
      <c r="AA359" s="160"/>
      <c r="AB359" s="160"/>
      <c r="AC359" s="160"/>
    </row>
    <row r="360" spans="2:29" ht="12">
      <c r="B360" s="144"/>
      <c r="C360" s="144"/>
      <c r="D360" s="144"/>
      <c r="E360" s="144"/>
      <c r="F360" s="144"/>
      <c r="G360" s="144"/>
      <c r="H360" s="144"/>
      <c r="I360" s="144"/>
      <c r="J360" s="144"/>
      <c r="K360" s="144"/>
      <c r="L360" s="144"/>
      <c r="M360" s="144"/>
      <c r="N360" s="144"/>
      <c r="O360" s="144"/>
      <c r="P360" s="144"/>
      <c r="Q360" s="144"/>
      <c r="R360" s="144"/>
      <c r="S360" s="144"/>
      <c r="T360" s="144"/>
      <c r="U360" s="144"/>
      <c r="V360" s="160"/>
      <c r="W360" s="160"/>
      <c r="X360" s="160"/>
      <c r="Y360" s="160"/>
      <c r="Z360" s="160"/>
      <c r="AA360" s="160"/>
      <c r="AB360" s="160"/>
      <c r="AC360" s="160"/>
    </row>
    <row r="361" spans="2:29" ht="12">
      <c r="B361" s="144"/>
      <c r="C361" s="144"/>
      <c r="D361" s="144"/>
      <c r="E361" s="144"/>
      <c r="F361" s="144"/>
      <c r="G361" s="144"/>
      <c r="H361" s="144"/>
      <c r="I361" s="144"/>
      <c r="J361" s="144"/>
      <c r="K361" s="144"/>
      <c r="L361" s="144"/>
      <c r="M361" s="144"/>
      <c r="N361" s="144"/>
      <c r="O361" s="144"/>
      <c r="P361" s="144"/>
      <c r="Q361" s="144"/>
      <c r="R361" s="144"/>
      <c r="S361" s="144"/>
      <c r="T361" s="144"/>
      <c r="U361" s="144"/>
      <c r="V361" s="160"/>
      <c r="W361" s="160"/>
      <c r="X361" s="160"/>
      <c r="Y361" s="160"/>
      <c r="Z361" s="160"/>
      <c r="AA361" s="160"/>
      <c r="AB361" s="160"/>
      <c r="AC361" s="160"/>
    </row>
    <row r="362" spans="2:29" ht="12">
      <c r="B362" s="144"/>
      <c r="C362" s="144"/>
      <c r="D362" s="144"/>
      <c r="E362" s="144"/>
      <c r="F362" s="144"/>
      <c r="G362" s="144"/>
      <c r="H362" s="144"/>
      <c r="I362" s="144"/>
      <c r="J362" s="144"/>
      <c r="K362" s="144"/>
      <c r="L362" s="144"/>
      <c r="M362" s="144"/>
      <c r="N362" s="144"/>
      <c r="O362" s="144"/>
      <c r="P362" s="144"/>
      <c r="Q362" s="144"/>
      <c r="R362" s="144"/>
      <c r="S362" s="144"/>
      <c r="T362" s="144"/>
      <c r="U362" s="144"/>
      <c r="V362" s="160"/>
      <c r="W362" s="160"/>
      <c r="X362" s="160"/>
      <c r="Y362" s="160"/>
      <c r="Z362" s="160"/>
      <c r="AA362" s="160"/>
      <c r="AB362" s="160"/>
      <c r="AC362" s="160"/>
    </row>
    <row r="363" spans="2:29" ht="12">
      <c r="B363" s="144"/>
      <c r="C363" s="144"/>
      <c r="D363" s="144"/>
      <c r="E363" s="144"/>
      <c r="F363" s="144"/>
      <c r="G363" s="144"/>
      <c r="H363" s="144"/>
      <c r="I363" s="144"/>
      <c r="J363" s="144"/>
      <c r="K363" s="144"/>
      <c r="L363" s="144"/>
      <c r="M363" s="144"/>
      <c r="N363" s="144"/>
      <c r="O363" s="144"/>
      <c r="P363" s="144"/>
      <c r="Q363" s="144"/>
      <c r="R363" s="144"/>
      <c r="S363" s="144"/>
      <c r="T363" s="144"/>
      <c r="U363" s="144"/>
      <c r="V363" s="160"/>
      <c r="W363" s="160"/>
      <c r="X363" s="160"/>
      <c r="Y363" s="160"/>
      <c r="Z363" s="160"/>
      <c r="AA363" s="160"/>
      <c r="AB363" s="160"/>
      <c r="AC363" s="160"/>
    </row>
    <row r="364" spans="2:29" ht="12">
      <c r="B364" s="144"/>
      <c r="C364" s="144"/>
      <c r="D364" s="144"/>
      <c r="E364" s="144"/>
      <c r="F364" s="144"/>
      <c r="G364" s="144"/>
      <c r="H364" s="144"/>
      <c r="I364" s="144"/>
      <c r="J364" s="144"/>
      <c r="K364" s="144"/>
      <c r="L364" s="144"/>
      <c r="M364" s="144"/>
      <c r="N364" s="144"/>
      <c r="O364" s="144"/>
      <c r="P364" s="144"/>
      <c r="Q364" s="144"/>
      <c r="R364" s="144"/>
      <c r="S364" s="144"/>
      <c r="T364" s="144"/>
      <c r="U364" s="144"/>
      <c r="V364" s="160"/>
      <c r="W364" s="160"/>
      <c r="X364" s="160"/>
      <c r="Y364" s="160"/>
      <c r="Z364" s="160"/>
      <c r="AA364" s="160"/>
      <c r="AB364" s="160"/>
      <c r="AC364" s="160"/>
    </row>
    <row r="365" spans="2:29" ht="12">
      <c r="B365" s="144"/>
      <c r="C365" s="144"/>
      <c r="D365" s="144"/>
      <c r="E365" s="144"/>
      <c r="F365" s="144"/>
      <c r="G365" s="144"/>
      <c r="H365" s="144"/>
      <c r="I365" s="144"/>
      <c r="J365" s="144"/>
      <c r="K365" s="144"/>
      <c r="L365" s="144"/>
      <c r="M365" s="144"/>
      <c r="N365" s="144"/>
      <c r="O365" s="144"/>
      <c r="P365" s="144"/>
      <c r="Q365" s="144"/>
      <c r="R365" s="144"/>
      <c r="S365" s="144"/>
      <c r="T365" s="144"/>
      <c r="U365" s="144"/>
      <c r="V365" s="160"/>
      <c r="W365" s="160"/>
      <c r="X365" s="160"/>
      <c r="Y365" s="160"/>
      <c r="Z365" s="160"/>
      <c r="AA365" s="160"/>
      <c r="AB365" s="160"/>
      <c r="AC365" s="160"/>
    </row>
    <row r="366" spans="2:29" ht="12">
      <c r="B366" s="144"/>
      <c r="C366" s="144"/>
      <c r="D366" s="144"/>
      <c r="E366" s="144"/>
      <c r="F366" s="144"/>
      <c r="G366" s="144"/>
      <c r="H366" s="144"/>
      <c r="I366" s="144"/>
      <c r="J366" s="144"/>
      <c r="K366" s="144"/>
      <c r="L366" s="144"/>
      <c r="M366" s="144"/>
      <c r="N366" s="144"/>
      <c r="O366" s="144"/>
      <c r="P366" s="144"/>
      <c r="Q366" s="144"/>
      <c r="R366" s="144"/>
      <c r="S366" s="144"/>
      <c r="T366" s="144"/>
      <c r="U366" s="144"/>
      <c r="V366" s="160"/>
      <c r="W366" s="160"/>
      <c r="X366" s="160"/>
      <c r="Y366" s="160"/>
      <c r="Z366" s="160"/>
      <c r="AA366" s="160"/>
      <c r="AB366" s="160"/>
      <c r="AC366" s="160"/>
    </row>
    <row r="367" spans="2:29" ht="12">
      <c r="B367" s="144"/>
      <c r="C367" s="144"/>
      <c r="D367" s="144"/>
      <c r="E367" s="144"/>
      <c r="F367" s="144"/>
      <c r="G367" s="144"/>
      <c r="H367" s="144"/>
      <c r="I367" s="144"/>
      <c r="J367" s="144"/>
      <c r="K367" s="144"/>
      <c r="L367" s="144"/>
      <c r="M367" s="144"/>
      <c r="N367" s="144"/>
      <c r="O367" s="144"/>
      <c r="P367" s="144"/>
      <c r="Q367" s="144"/>
      <c r="R367" s="144"/>
      <c r="S367" s="144"/>
      <c r="T367" s="144"/>
      <c r="U367" s="144"/>
      <c r="V367" s="160"/>
      <c r="W367" s="160"/>
      <c r="X367" s="160"/>
      <c r="Y367" s="160"/>
      <c r="Z367" s="160"/>
      <c r="AA367" s="160"/>
      <c r="AB367" s="160"/>
      <c r="AC367" s="160"/>
    </row>
    <row r="368" spans="2:29" ht="12">
      <c r="B368" s="144"/>
      <c r="C368" s="144"/>
      <c r="D368" s="144"/>
      <c r="E368" s="144"/>
      <c r="F368" s="144"/>
      <c r="G368" s="144"/>
      <c r="H368" s="144"/>
      <c r="I368" s="144"/>
      <c r="J368" s="144"/>
      <c r="K368" s="144"/>
      <c r="L368" s="144"/>
      <c r="M368" s="144"/>
      <c r="N368" s="144"/>
      <c r="O368" s="144"/>
      <c r="P368" s="144"/>
      <c r="Q368" s="144"/>
      <c r="R368" s="144"/>
      <c r="S368" s="144"/>
      <c r="T368" s="144"/>
      <c r="U368" s="144"/>
      <c r="V368" s="160"/>
      <c r="W368" s="160"/>
      <c r="X368" s="160"/>
      <c r="Y368" s="160"/>
      <c r="Z368" s="160"/>
      <c r="AA368" s="160"/>
      <c r="AB368" s="160"/>
      <c r="AC368" s="160"/>
    </row>
    <row r="369" spans="2:29" ht="12">
      <c r="B369" s="144"/>
      <c r="C369" s="144"/>
      <c r="D369" s="144"/>
      <c r="E369" s="144"/>
      <c r="F369" s="144"/>
      <c r="G369" s="144"/>
      <c r="H369" s="144"/>
      <c r="I369" s="144"/>
      <c r="J369" s="144"/>
      <c r="K369" s="144"/>
      <c r="L369" s="144"/>
      <c r="M369" s="144"/>
      <c r="N369" s="144"/>
      <c r="O369" s="144"/>
      <c r="P369" s="144"/>
      <c r="Q369" s="144"/>
      <c r="R369" s="144"/>
      <c r="S369" s="144"/>
      <c r="T369" s="144"/>
      <c r="U369" s="144"/>
      <c r="V369" s="160"/>
      <c r="W369" s="160"/>
      <c r="X369" s="160"/>
      <c r="Y369" s="160"/>
      <c r="Z369" s="160"/>
      <c r="AA369" s="160"/>
      <c r="AB369" s="160"/>
      <c r="AC369" s="160"/>
    </row>
    <row r="370" spans="2:29" ht="12">
      <c r="B370" s="144"/>
      <c r="C370" s="144"/>
      <c r="D370" s="144"/>
      <c r="E370" s="144"/>
      <c r="F370" s="144"/>
      <c r="G370" s="144"/>
      <c r="H370" s="144"/>
      <c r="I370" s="144"/>
      <c r="J370" s="144"/>
      <c r="K370" s="144"/>
      <c r="L370" s="144"/>
      <c r="M370" s="144"/>
      <c r="N370" s="144"/>
      <c r="O370" s="144"/>
      <c r="P370" s="144"/>
      <c r="Q370" s="144"/>
      <c r="R370" s="144"/>
      <c r="S370" s="144"/>
      <c r="T370" s="144"/>
      <c r="U370" s="144"/>
      <c r="V370" s="160"/>
      <c r="W370" s="160"/>
      <c r="X370" s="160"/>
      <c r="Y370" s="160"/>
      <c r="Z370" s="160"/>
      <c r="AA370" s="160"/>
      <c r="AB370" s="160"/>
      <c r="AC370" s="160"/>
    </row>
    <row r="371" spans="2:29" ht="12">
      <c r="B371" s="144"/>
      <c r="C371" s="144"/>
      <c r="D371" s="144"/>
      <c r="E371" s="144"/>
      <c r="F371" s="144"/>
      <c r="G371" s="144"/>
      <c r="H371" s="144"/>
      <c r="I371" s="144"/>
      <c r="J371" s="144"/>
      <c r="K371" s="144"/>
      <c r="L371" s="144"/>
      <c r="M371" s="144"/>
      <c r="N371" s="144"/>
      <c r="O371" s="144"/>
      <c r="P371" s="144"/>
      <c r="Q371" s="144"/>
      <c r="R371" s="144"/>
      <c r="S371" s="144"/>
      <c r="T371" s="144"/>
      <c r="U371" s="144"/>
      <c r="V371" s="160"/>
      <c r="W371" s="160"/>
      <c r="X371" s="160"/>
      <c r="Y371" s="160"/>
      <c r="Z371" s="160"/>
      <c r="AA371" s="160"/>
      <c r="AB371" s="160"/>
      <c r="AC371" s="160"/>
    </row>
    <row r="372" spans="2:29" ht="12">
      <c r="B372" s="144"/>
      <c r="C372" s="144"/>
      <c r="D372" s="144"/>
      <c r="E372" s="144"/>
      <c r="F372" s="144"/>
      <c r="G372" s="144"/>
      <c r="H372" s="144"/>
      <c r="I372" s="144"/>
      <c r="J372" s="144"/>
      <c r="K372" s="144"/>
      <c r="L372" s="144"/>
      <c r="M372" s="144"/>
      <c r="N372" s="144"/>
      <c r="O372" s="144"/>
      <c r="P372" s="144"/>
      <c r="Q372" s="144"/>
      <c r="R372" s="144"/>
      <c r="S372" s="144"/>
      <c r="T372" s="144"/>
      <c r="U372" s="144"/>
      <c r="V372" s="160"/>
      <c r="W372" s="160"/>
      <c r="X372" s="160"/>
      <c r="Y372" s="160"/>
      <c r="Z372" s="160"/>
      <c r="AA372" s="160"/>
      <c r="AB372" s="160"/>
      <c r="AC372" s="160"/>
    </row>
    <row r="373" spans="2:29" ht="12">
      <c r="B373" s="144"/>
      <c r="C373" s="144"/>
      <c r="D373" s="144"/>
      <c r="E373" s="144"/>
      <c r="F373" s="144"/>
      <c r="G373" s="144"/>
      <c r="H373" s="144"/>
      <c r="I373" s="144"/>
      <c r="J373" s="144"/>
      <c r="K373" s="144"/>
      <c r="L373" s="144"/>
      <c r="M373" s="144"/>
      <c r="N373" s="144"/>
      <c r="O373" s="144"/>
      <c r="P373" s="144"/>
      <c r="Q373" s="144"/>
      <c r="R373" s="144"/>
      <c r="S373" s="144"/>
      <c r="T373" s="144"/>
      <c r="U373" s="144"/>
      <c r="V373" s="160"/>
      <c r="W373" s="160"/>
      <c r="X373" s="160"/>
      <c r="Y373" s="160"/>
      <c r="Z373" s="160"/>
      <c r="AA373" s="160"/>
      <c r="AB373" s="160"/>
      <c r="AC373" s="160"/>
    </row>
    <row r="374" spans="2:29" ht="12">
      <c r="B374" s="144"/>
      <c r="C374" s="144"/>
      <c r="D374" s="144"/>
      <c r="E374" s="144"/>
      <c r="F374" s="144"/>
      <c r="G374" s="144"/>
      <c r="H374" s="144"/>
      <c r="I374" s="144"/>
      <c r="J374" s="144"/>
      <c r="K374" s="144"/>
      <c r="L374" s="144"/>
      <c r="M374" s="144"/>
      <c r="N374" s="144"/>
      <c r="O374" s="144"/>
      <c r="P374" s="144"/>
      <c r="Q374" s="144"/>
      <c r="R374" s="144"/>
      <c r="S374" s="144"/>
      <c r="T374" s="144"/>
      <c r="U374" s="144"/>
      <c r="V374" s="160"/>
      <c r="W374" s="160"/>
      <c r="X374" s="160"/>
      <c r="Y374" s="160"/>
      <c r="Z374" s="160"/>
      <c r="AA374" s="160"/>
      <c r="AB374" s="160"/>
      <c r="AC374" s="160"/>
    </row>
    <row r="375" spans="2:29" ht="12">
      <c r="B375" s="144"/>
      <c r="C375" s="144"/>
      <c r="D375" s="144"/>
      <c r="E375" s="144"/>
      <c r="F375" s="144"/>
      <c r="G375" s="144"/>
      <c r="H375" s="144"/>
      <c r="I375" s="144"/>
      <c r="J375" s="144"/>
      <c r="K375" s="144"/>
      <c r="L375" s="144"/>
      <c r="M375" s="144"/>
      <c r="N375" s="144"/>
      <c r="O375" s="144"/>
      <c r="P375" s="144"/>
      <c r="Q375" s="144"/>
      <c r="R375" s="144"/>
      <c r="S375" s="144"/>
      <c r="T375" s="144"/>
      <c r="U375" s="144"/>
      <c r="V375" s="160"/>
      <c r="W375" s="160"/>
      <c r="X375" s="160"/>
      <c r="Y375" s="160"/>
      <c r="Z375" s="160"/>
      <c r="AA375" s="160"/>
      <c r="AB375" s="160"/>
      <c r="AC375" s="160"/>
    </row>
    <row r="376" spans="2:29" ht="12">
      <c r="B376" s="144"/>
      <c r="C376" s="144"/>
      <c r="D376" s="144"/>
      <c r="E376" s="144"/>
      <c r="F376" s="144"/>
      <c r="G376" s="144"/>
      <c r="H376" s="144"/>
      <c r="I376" s="144"/>
      <c r="J376" s="144"/>
      <c r="K376" s="144"/>
      <c r="L376" s="144"/>
      <c r="M376" s="144"/>
      <c r="N376" s="144"/>
      <c r="O376" s="144"/>
      <c r="P376" s="144"/>
      <c r="Q376" s="144"/>
      <c r="R376" s="144"/>
      <c r="S376" s="144"/>
      <c r="T376" s="144"/>
      <c r="U376" s="144"/>
      <c r="V376" s="160"/>
      <c r="W376" s="160"/>
      <c r="X376" s="160"/>
      <c r="Y376" s="160"/>
      <c r="Z376" s="160"/>
      <c r="AA376" s="160"/>
      <c r="AB376" s="160"/>
      <c r="AC376" s="160"/>
    </row>
    <row r="377" spans="2:29" ht="12">
      <c r="B377" s="144"/>
      <c r="C377" s="144"/>
      <c r="D377" s="144"/>
      <c r="E377" s="144"/>
      <c r="F377" s="144"/>
      <c r="G377" s="144"/>
      <c r="H377" s="144"/>
      <c r="I377" s="144"/>
      <c r="J377" s="144"/>
      <c r="K377" s="144"/>
      <c r="L377" s="144"/>
      <c r="M377" s="144"/>
      <c r="N377" s="144"/>
      <c r="O377" s="144"/>
      <c r="P377" s="144"/>
      <c r="Q377" s="144"/>
      <c r="R377" s="144"/>
      <c r="S377" s="144"/>
      <c r="T377" s="144"/>
      <c r="U377" s="144"/>
      <c r="V377" s="160"/>
      <c r="W377" s="160"/>
      <c r="X377" s="160"/>
      <c r="Y377" s="160"/>
      <c r="Z377" s="160"/>
      <c r="AA377" s="160"/>
      <c r="AB377" s="160"/>
      <c r="AC377" s="160"/>
    </row>
    <row r="378" spans="2:29" ht="12">
      <c r="B378" s="144"/>
      <c r="C378" s="144"/>
      <c r="D378" s="144"/>
      <c r="E378" s="144"/>
      <c r="F378" s="144"/>
      <c r="G378" s="144"/>
      <c r="H378" s="144"/>
      <c r="I378" s="144"/>
      <c r="J378" s="144"/>
      <c r="K378" s="144"/>
      <c r="L378" s="144"/>
      <c r="M378" s="144"/>
      <c r="N378" s="144"/>
      <c r="O378" s="144"/>
      <c r="P378" s="144"/>
      <c r="Q378" s="144"/>
      <c r="R378" s="144"/>
      <c r="S378" s="144"/>
      <c r="T378" s="144"/>
      <c r="U378" s="144"/>
      <c r="V378" s="160"/>
      <c r="W378" s="160"/>
      <c r="X378" s="160"/>
      <c r="Y378" s="160"/>
      <c r="Z378" s="160"/>
      <c r="AA378" s="160"/>
      <c r="AB378" s="160"/>
      <c r="AC378" s="160"/>
    </row>
    <row r="379" spans="2:29" ht="12">
      <c r="B379" s="144"/>
      <c r="C379" s="144"/>
      <c r="D379" s="144"/>
      <c r="E379" s="144"/>
      <c r="F379" s="144"/>
      <c r="G379" s="144"/>
      <c r="H379" s="144"/>
      <c r="I379" s="144"/>
      <c r="J379" s="144"/>
      <c r="K379" s="144"/>
      <c r="L379" s="144"/>
      <c r="M379" s="144"/>
      <c r="N379" s="144"/>
      <c r="O379" s="144"/>
      <c r="P379" s="144"/>
      <c r="Q379" s="144"/>
      <c r="R379" s="144"/>
      <c r="S379" s="144"/>
      <c r="T379" s="144"/>
      <c r="U379" s="144"/>
      <c r="V379" s="160"/>
      <c r="W379" s="160"/>
      <c r="X379" s="160"/>
      <c r="Y379" s="160"/>
      <c r="Z379" s="160"/>
      <c r="AA379" s="160"/>
      <c r="AB379" s="160"/>
      <c r="AC379" s="160"/>
    </row>
    <row r="380" spans="2:29" ht="12">
      <c r="B380" s="144"/>
      <c r="C380" s="144"/>
      <c r="D380" s="144"/>
      <c r="E380" s="144"/>
      <c r="F380" s="144"/>
      <c r="G380" s="144"/>
      <c r="H380" s="144"/>
      <c r="I380" s="144"/>
      <c r="J380" s="144"/>
      <c r="K380" s="144"/>
      <c r="L380" s="144"/>
      <c r="M380" s="144"/>
      <c r="N380" s="144"/>
      <c r="O380" s="144"/>
      <c r="P380" s="144"/>
      <c r="Q380" s="144"/>
      <c r="R380" s="144"/>
      <c r="S380" s="144"/>
      <c r="T380" s="144"/>
      <c r="U380" s="144"/>
      <c r="V380" s="160"/>
      <c r="W380" s="160"/>
      <c r="X380" s="160"/>
      <c r="Y380" s="160"/>
      <c r="Z380" s="160"/>
      <c r="AA380" s="160"/>
      <c r="AB380" s="160"/>
      <c r="AC380" s="160"/>
    </row>
    <row r="381" spans="2:29" ht="12">
      <c r="B381" s="144"/>
      <c r="C381" s="144"/>
      <c r="D381" s="144"/>
      <c r="E381" s="144"/>
      <c r="F381" s="144"/>
      <c r="G381" s="144"/>
      <c r="H381" s="144"/>
      <c r="I381" s="144"/>
      <c r="J381" s="144"/>
      <c r="K381" s="144"/>
      <c r="L381" s="144"/>
      <c r="M381" s="144"/>
      <c r="N381" s="144"/>
      <c r="O381" s="144"/>
      <c r="P381" s="144"/>
      <c r="Q381" s="144"/>
      <c r="R381" s="144"/>
      <c r="S381" s="144"/>
      <c r="T381" s="144"/>
      <c r="U381" s="144"/>
      <c r="V381" s="160"/>
      <c r="W381" s="160"/>
      <c r="X381" s="160"/>
      <c r="Y381" s="160"/>
      <c r="Z381" s="160"/>
      <c r="AA381" s="160"/>
      <c r="AB381" s="160"/>
      <c r="AC381" s="160"/>
    </row>
    <row r="382" spans="2:29" ht="12">
      <c r="B382" s="144"/>
      <c r="C382" s="144"/>
      <c r="D382" s="144"/>
      <c r="E382" s="144"/>
      <c r="F382" s="144"/>
      <c r="G382" s="144"/>
      <c r="H382" s="144"/>
      <c r="I382" s="144"/>
      <c r="J382" s="144"/>
      <c r="K382" s="144"/>
      <c r="L382" s="144"/>
      <c r="M382" s="144"/>
      <c r="N382" s="144"/>
      <c r="O382" s="144"/>
      <c r="P382" s="144"/>
      <c r="Q382" s="144"/>
      <c r="R382" s="144"/>
      <c r="S382" s="144"/>
      <c r="T382" s="144"/>
      <c r="U382" s="144"/>
      <c r="V382" s="160"/>
      <c r="W382" s="160"/>
      <c r="X382" s="160"/>
      <c r="Y382" s="160"/>
      <c r="Z382" s="160"/>
      <c r="AA382" s="160"/>
      <c r="AB382" s="160"/>
      <c r="AC382" s="160"/>
    </row>
    <row r="383" spans="2:29" ht="12">
      <c r="B383" s="144"/>
      <c r="C383" s="144"/>
      <c r="D383" s="144"/>
      <c r="E383" s="144"/>
      <c r="F383" s="144"/>
      <c r="G383" s="144"/>
      <c r="H383" s="144"/>
      <c r="I383" s="144"/>
      <c r="J383" s="144"/>
      <c r="K383" s="144"/>
      <c r="L383" s="144"/>
      <c r="M383" s="144"/>
      <c r="N383" s="144"/>
      <c r="O383" s="144"/>
      <c r="P383" s="144"/>
      <c r="Q383" s="144"/>
      <c r="R383" s="144"/>
      <c r="S383" s="144"/>
      <c r="T383" s="144"/>
      <c r="U383" s="144"/>
      <c r="V383" s="160"/>
      <c r="W383" s="160"/>
      <c r="X383" s="160"/>
      <c r="Y383" s="160"/>
      <c r="Z383" s="160"/>
      <c r="AA383" s="160"/>
      <c r="AB383" s="160"/>
      <c r="AC383" s="160"/>
    </row>
    <row r="384" spans="2:29" ht="12">
      <c r="B384" s="144"/>
      <c r="C384" s="144"/>
      <c r="D384" s="144"/>
      <c r="E384" s="144"/>
      <c r="F384" s="144"/>
      <c r="G384" s="144"/>
      <c r="H384" s="144"/>
      <c r="I384" s="144"/>
      <c r="J384" s="144"/>
      <c r="K384" s="144"/>
      <c r="L384" s="144"/>
      <c r="M384" s="144"/>
      <c r="N384" s="144"/>
      <c r="O384" s="144"/>
      <c r="P384" s="144"/>
      <c r="Q384" s="144"/>
      <c r="R384" s="144"/>
      <c r="S384" s="144"/>
      <c r="T384" s="144"/>
      <c r="U384" s="144"/>
      <c r="V384" s="160"/>
      <c r="W384" s="160"/>
      <c r="X384" s="160"/>
      <c r="Y384" s="160"/>
      <c r="Z384" s="160"/>
      <c r="AA384" s="160"/>
      <c r="AB384" s="160"/>
      <c r="AC384" s="160"/>
    </row>
    <row r="385" spans="2:29" ht="12">
      <c r="B385" s="144"/>
      <c r="C385" s="144"/>
      <c r="D385" s="144"/>
      <c r="E385" s="144"/>
      <c r="F385" s="144"/>
      <c r="G385" s="144"/>
      <c r="H385" s="144"/>
      <c r="I385" s="144"/>
      <c r="J385" s="144"/>
      <c r="K385" s="144"/>
      <c r="L385" s="144"/>
      <c r="M385" s="144"/>
      <c r="N385" s="144"/>
      <c r="O385" s="144"/>
      <c r="P385" s="144"/>
      <c r="Q385" s="144"/>
      <c r="R385" s="144"/>
      <c r="S385" s="144"/>
      <c r="T385" s="144"/>
      <c r="U385" s="144"/>
      <c r="V385" s="160"/>
      <c r="W385" s="160"/>
      <c r="X385" s="160"/>
      <c r="Y385" s="160"/>
      <c r="Z385" s="160"/>
      <c r="AA385" s="160"/>
      <c r="AB385" s="160"/>
      <c r="AC385" s="160"/>
    </row>
    <row r="386" spans="2:29" ht="12">
      <c r="B386" s="144"/>
      <c r="C386" s="144"/>
      <c r="D386" s="144"/>
      <c r="E386" s="144"/>
      <c r="F386" s="144"/>
      <c r="G386" s="144"/>
      <c r="H386" s="144"/>
      <c r="I386" s="144"/>
      <c r="J386" s="144"/>
      <c r="K386" s="144"/>
      <c r="L386" s="144"/>
      <c r="M386" s="144"/>
      <c r="N386" s="144"/>
      <c r="O386" s="144"/>
      <c r="P386" s="144"/>
      <c r="Q386" s="144"/>
      <c r="R386" s="144"/>
      <c r="S386" s="144"/>
      <c r="T386" s="144"/>
      <c r="U386" s="144"/>
      <c r="V386" s="160"/>
      <c r="W386" s="160"/>
      <c r="X386" s="160"/>
      <c r="Y386" s="160"/>
      <c r="Z386" s="160"/>
      <c r="AA386" s="160"/>
      <c r="AB386" s="160"/>
      <c r="AC386" s="160"/>
    </row>
    <row r="387" spans="2:29" ht="12">
      <c r="B387" s="144"/>
      <c r="C387" s="144"/>
      <c r="D387" s="144"/>
      <c r="E387" s="144"/>
      <c r="F387" s="144"/>
      <c r="G387" s="144"/>
      <c r="H387" s="144"/>
      <c r="I387" s="144"/>
      <c r="J387" s="144"/>
      <c r="K387" s="144"/>
      <c r="L387" s="144"/>
      <c r="M387" s="144"/>
      <c r="N387" s="144"/>
      <c r="O387" s="144"/>
      <c r="P387" s="144"/>
      <c r="Q387" s="144"/>
      <c r="R387" s="144"/>
      <c r="S387" s="144"/>
      <c r="T387" s="144"/>
      <c r="U387" s="144"/>
      <c r="V387" s="160"/>
      <c r="W387" s="160"/>
      <c r="X387" s="160"/>
      <c r="Y387" s="160"/>
      <c r="Z387" s="160"/>
      <c r="AA387" s="160"/>
      <c r="AB387" s="160"/>
      <c r="AC387" s="160"/>
    </row>
    <row r="388" spans="2:29" ht="12">
      <c r="B388" s="144"/>
      <c r="C388" s="144"/>
      <c r="D388" s="144"/>
      <c r="E388" s="144"/>
      <c r="F388" s="144"/>
      <c r="G388" s="144"/>
      <c r="H388" s="144"/>
      <c r="I388" s="144"/>
      <c r="J388" s="144"/>
      <c r="K388" s="144"/>
      <c r="L388" s="144"/>
      <c r="M388" s="144"/>
      <c r="N388" s="144"/>
      <c r="O388" s="144"/>
      <c r="P388" s="144"/>
      <c r="Q388" s="144"/>
      <c r="R388" s="144"/>
      <c r="S388" s="144"/>
      <c r="T388" s="144"/>
      <c r="U388" s="144"/>
      <c r="V388" s="160"/>
      <c r="W388" s="160"/>
      <c r="X388" s="160"/>
      <c r="Y388" s="160"/>
      <c r="Z388" s="160"/>
      <c r="AA388" s="160"/>
      <c r="AB388" s="160"/>
      <c r="AC388" s="160"/>
    </row>
    <row r="389" spans="2:29" ht="12">
      <c r="B389" s="144"/>
      <c r="C389" s="144"/>
      <c r="D389" s="144"/>
      <c r="E389" s="144"/>
      <c r="F389" s="144"/>
      <c r="G389" s="144"/>
      <c r="H389" s="144"/>
      <c r="I389" s="144"/>
      <c r="J389" s="144"/>
      <c r="K389" s="144"/>
      <c r="L389" s="144"/>
      <c r="M389" s="144"/>
      <c r="N389" s="144"/>
      <c r="O389" s="144"/>
      <c r="P389" s="144"/>
      <c r="Q389" s="144"/>
      <c r="R389" s="144"/>
      <c r="S389" s="144"/>
      <c r="T389" s="144"/>
      <c r="U389" s="144"/>
      <c r="V389" s="160"/>
      <c r="W389" s="160"/>
      <c r="X389" s="160"/>
      <c r="Y389" s="160"/>
      <c r="Z389" s="160"/>
      <c r="AA389" s="160"/>
      <c r="AB389" s="160"/>
      <c r="AC389" s="160"/>
    </row>
    <row r="390" spans="2:29" ht="12">
      <c r="B390" s="144"/>
      <c r="C390" s="144"/>
      <c r="D390" s="144"/>
      <c r="E390" s="144"/>
      <c r="F390" s="144"/>
      <c r="G390" s="144"/>
      <c r="H390" s="144"/>
      <c r="I390" s="144"/>
      <c r="J390" s="144"/>
      <c r="K390" s="144"/>
      <c r="L390" s="144"/>
      <c r="M390" s="144"/>
      <c r="N390" s="144"/>
      <c r="O390" s="144"/>
      <c r="P390" s="144"/>
      <c r="Q390" s="144"/>
      <c r="R390" s="144"/>
      <c r="S390" s="144"/>
      <c r="T390" s="144"/>
      <c r="U390" s="144"/>
      <c r="V390" s="160"/>
      <c r="W390" s="160"/>
      <c r="X390" s="160"/>
      <c r="Y390" s="160"/>
      <c r="Z390" s="160"/>
      <c r="AA390" s="160"/>
      <c r="AB390" s="160"/>
      <c r="AC390" s="160"/>
    </row>
    <row r="391" spans="2:29" ht="12">
      <c r="B391" s="144"/>
      <c r="C391" s="144"/>
      <c r="D391" s="144"/>
      <c r="E391" s="144"/>
      <c r="F391" s="144"/>
      <c r="G391" s="144"/>
      <c r="H391" s="144"/>
      <c r="I391" s="144"/>
      <c r="J391" s="144"/>
      <c r="K391" s="144"/>
      <c r="L391" s="144"/>
      <c r="M391" s="144"/>
      <c r="N391" s="144"/>
      <c r="O391" s="144"/>
      <c r="P391" s="144"/>
      <c r="Q391" s="144"/>
      <c r="R391" s="144"/>
      <c r="S391" s="144"/>
      <c r="T391" s="144"/>
      <c r="U391" s="144"/>
      <c r="V391" s="160"/>
      <c r="W391" s="160"/>
      <c r="X391" s="160"/>
      <c r="Y391" s="160"/>
      <c r="Z391" s="160"/>
      <c r="AA391" s="160"/>
      <c r="AB391" s="160"/>
      <c r="AC391" s="160"/>
    </row>
    <row r="392" spans="2:29" ht="12">
      <c r="B392" s="144"/>
      <c r="C392" s="144"/>
      <c r="D392" s="144"/>
      <c r="E392" s="144"/>
      <c r="F392" s="144"/>
      <c r="G392" s="144"/>
      <c r="H392" s="144"/>
      <c r="I392" s="144"/>
      <c r="J392" s="144"/>
      <c r="K392" s="144"/>
      <c r="L392" s="144"/>
      <c r="M392" s="144"/>
      <c r="N392" s="144"/>
      <c r="O392" s="144"/>
      <c r="P392" s="144"/>
      <c r="Q392" s="144"/>
      <c r="R392" s="144"/>
      <c r="S392" s="144"/>
      <c r="T392" s="144"/>
      <c r="U392" s="144"/>
      <c r="V392" s="160"/>
      <c r="W392" s="160"/>
      <c r="X392" s="160"/>
      <c r="Y392" s="160"/>
      <c r="Z392" s="160"/>
      <c r="AA392" s="160"/>
      <c r="AB392" s="160"/>
      <c r="AC392" s="160"/>
    </row>
    <row r="393" spans="2:29" ht="12">
      <c r="B393" s="144"/>
      <c r="C393" s="144"/>
      <c r="D393" s="144"/>
      <c r="E393" s="144"/>
      <c r="F393" s="144"/>
      <c r="G393" s="144"/>
      <c r="H393" s="144"/>
      <c r="I393" s="144"/>
      <c r="J393" s="144"/>
      <c r="K393" s="144"/>
      <c r="L393" s="144"/>
      <c r="M393" s="144"/>
      <c r="N393" s="144"/>
      <c r="O393" s="144"/>
      <c r="P393" s="144"/>
      <c r="Q393" s="144"/>
      <c r="R393" s="144"/>
      <c r="S393" s="144"/>
      <c r="T393" s="144"/>
      <c r="U393" s="144"/>
      <c r="V393" s="160"/>
      <c r="W393" s="160"/>
      <c r="X393" s="160"/>
      <c r="Y393" s="160"/>
      <c r="Z393" s="160"/>
      <c r="AA393" s="160"/>
      <c r="AB393" s="160"/>
      <c r="AC393" s="160"/>
    </row>
    <row r="394" spans="2:29" ht="12">
      <c r="B394" s="144"/>
      <c r="C394" s="144"/>
      <c r="D394" s="144"/>
      <c r="E394" s="144"/>
      <c r="F394" s="144"/>
      <c r="G394" s="144"/>
      <c r="H394" s="144"/>
      <c r="I394" s="144"/>
      <c r="J394" s="144"/>
      <c r="K394" s="144"/>
      <c r="L394" s="144"/>
      <c r="M394" s="144"/>
      <c r="N394" s="144"/>
      <c r="O394" s="144"/>
      <c r="P394" s="144"/>
      <c r="Q394" s="144"/>
      <c r="R394" s="144"/>
      <c r="S394" s="144"/>
      <c r="T394" s="144"/>
      <c r="U394" s="144"/>
      <c r="V394" s="160"/>
      <c r="W394" s="160"/>
      <c r="X394" s="160"/>
      <c r="Y394" s="160"/>
      <c r="Z394" s="160"/>
      <c r="AA394" s="160"/>
      <c r="AB394" s="160"/>
      <c r="AC394" s="160"/>
    </row>
    <row r="395" spans="2:29" ht="12">
      <c r="B395" s="144"/>
      <c r="C395" s="144"/>
      <c r="D395" s="144"/>
      <c r="E395" s="144"/>
      <c r="F395" s="144"/>
      <c r="G395" s="144"/>
      <c r="H395" s="144"/>
      <c r="I395" s="144"/>
      <c r="J395" s="144"/>
      <c r="K395" s="144"/>
      <c r="L395" s="144"/>
      <c r="M395" s="144"/>
      <c r="N395" s="144"/>
      <c r="O395" s="144"/>
      <c r="P395" s="144"/>
      <c r="Q395" s="144"/>
      <c r="R395" s="144"/>
      <c r="S395" s="144"/>
      <c r="T395" s="144"/>
      <c r="U395" s="144"/>
      <c r="V395" s="160"/>
      <c r="W395" s="160"/>
      <c r="X395" s="160"/>
      <c r="Y395" s="160"/>
      <c r="Z395" s="160"/>
      <c r="AA395" s="160"/>
      <c r="AB395" s="160"/>
      <c r="AC395" s="160"/>
    </row>
    <row r="396" spans="2:29" ht="12">
      <c r="B396" s="144"/>
      <c r="C396" s="144"/>
      <c r="D396" s="144"/>
      <c r="E396" s="144"/>
      <c r="F396" s="144"/>
      <c r="G396" s="144"/>
      <c r="H396" s="144"/>
      <c r="I396" s="144"/>
      <c r="J396" s="144"/>
      <c r="K396" s="144"/>
      <c r="L396" s="144"/>
      <c r="M396" s="144"/>
      <c r="N396" s="144"/>
      <c r="O396" s="144"/>
      <c r="P396" s="144"/>
      <c r="Q396" s="144"/>
      <c r="R396" s="144"/>
      <c r="S396" s="144"/>
      <c r="T396" s="144"/>
      <c r="U396" s="144"/>
      <c r="V396" s="160"/>
      <c r="W396" s="160"/>
      <c r="X396" s="160"/>
      <c r="Y396" s="160"/>
      <c r="Z396" s="160"/>
      <c r="AA396" s="160"/>
      <c r="AB396" s="160"/>
      <c r="AC396" s="160"/>
    </row>
    <row r="397" spans="2:29" ht="12">
      <c r="B397" s="144"/>
      <c r="C397" s="144"/>
      <c r="D397" s="144"/>
      <c r="E397" s="144"/>
      <c r="F397" s="144"/>
      <c r="G397" s="144"/>
      <c r="H397" s="144"/>
      <c r="I397" s="144"/>
      <c r="J397" s="144"/>
      <c r="K397" s="144"/>
      <c r="L397" s="144"/>
      <c r="M397" s="144"/>
      <c r="N397" s="144"/>
      <c r="O397" s="144"/>
      <c r="P397" s="144"/>
      <c r="Q397" s="144"/>
      <c r="R397" s="144"/>
      <c r="S397" s="144"/>
      <c r="T397" s="144"/>
      <c r="U397" s="144"/>
      <c r="V397" s="160"/>
      <c r="W397" s="160"/>
      <c r="X397" s="160"/>
      <c r="Y397" s="160"/>
      <c r="Z397" s="160"/>
      <c r="AA397" s="160"/>
      <c r="AB397" s="160"/>
      <c r="AC397" s="160"/>
    </row>
    <row r="398" spans="2:29" ht="12">
      <c r="B398" s="144"/>
      <c r="C398" s="144"/>
      <c r="D398" s="144"/>
      <c r="E398" s="144"/>
      <c r="F398" s="144"/>
      <c r="G398" s="144"/>
      <c r="H398" s="144"/>
      <c r="I398" s="144"/>
      <c r="J398" s="144"/>
      <c r="K398" s="144"/>
      <c r="L398" s="144"/>
      <c r="M398" s="144"/>
      <c r="N398" s="144"/>
      <c r="O398" s="144"/>
      <c r="P398" s="144"/>
      <c r="Q398" s="144"/>
      <c r="R398" s="144"/>
      <c r="S398" s="144"/>
      <c r="T398" s="144"/>
      <c r="U398" s="144"/>
      <c r="V398" s="160"/>
      <c r="W398" s="160"/>
      <c r="X398" s="160"/>
      <c r="Y398" s="160"/>
      <c r="Z398" s="160"/>
      <c r="AA398" s="160"/>
      <c r="AB398" s="160"/>
      <c r="AC398" s="160"/>
    </row>
    <row r="399" spans="2:29" ht="12">
      <c r="B399" s="144"/>
      <c r="C399" s="144"/>
      <c r="D399" s="144"/>
      <c r="E399" s="144"/>
      <c r="F399" s="144"/>
      <c r="G399" s="144"/>
      <c r="H399" s="144"/>
      <c r="I399" s="144"/>
      <c r="J399" s="144"/>
      <c r="K399" s="144"/>
      <c r="L399" s="144"/>
      <c r="M399" s="144"/>
      <c r="N399" s="144"/>
      <c r="O399" s="144"/>
      <c r="P399" s="144"/>
      <c r="Q399" s="144"/>
      <c r="R399" s="144"/>
      <c r="S399" s="144"/>
      <c r="T399" s="144"/>
      <c r="U399" s="144"/>
      <c r="V399" s="160"/>
      <c r="W399" s="160"/>
      <c r="X399" s="160"/>
      <c r="Y399" s="160"/>
      <c r="Z399" s="160"/>
      <c r="AA399" s="160"/>
      <c r="AB399" s="160"/>
      <c r="AC399" s="160"/>
    </row>
    <row r="400" spans="2:29" ht="12">
      <c r="B400" s="144"/>
      <c r="C400" s="144"/>
      <c r="D400" s="144"/>
      <c r="E400" s="144"/>
      <c r="F400" s="144"/>
      <c r="G400" s="144"/>
      <c r="H400" s="144"/>
      <c r="I400" s="144"/>
      <c r="J400" s="144"/>
      <c r="K400" s="144"/>
      <c r="L400" s="144"/>
      <c r="M400" s="144"/>
      <c r="N400" s="144"/>
      <c r="O400" s="144"/>
      <c r="P400" s="144"/>
      <c r="Q400" s="144"/>
      <c r="R400" s="144"/>
      <c r="S400" s="144"/>
      <c r="T400" s="144"/>
      <c r="U400" s="144"/>
      <c r="V400" s="160"/>
      <c r="W400" s="160"/>
      <c r="X400" s="160"/>
      <c r="Y400" s="160"/>
      <c r="Z400" s="160"/>
      <c r="AA400" s="160"/>
      <c r="AB400" s="160"/>
      <c r="AC400" s="160"/>
    </row>
    <row r="401" spans="2:29" ht="12">
      <c r="B401" s="144"/>
      <c r="C401" s="144"/>
      <c r="D401" s="144"/>
      <c r="E401" s="144"/>
      <c r="F401" s="144"/>
      <c r="G401" s="144"/>
      <c r="H401" s="144"/>
      <c r="I401" s="144"/>
      <c r="J401" s="144"/>
      <c r="K401" s="144"/>
      <c r="L401" s="144"/>
      <c r="M401" s="144"/>
      <c r="N401" s="144"/>
      <c r="O401" s="144"/>
      <c r="P401" s="144"/>
      <c r="Q401" s="144"/>
      <c r="R401" s="144"/>
      <c r="S401" s="144"/>
      <c r="T401" s="144"/>
      <c r="U401" s="144"/>
      <c r="V401" s="160"/>
      <c r="W401" s="160"/>
      <c r="X401" s="160"/>
      <c r="Y401" s="160"/>
      <c r="Z401" s="160"/>
      <c r="AA401" s="160"/>
      <c r="AB401" s="160"/>
      <c r="AC401" s="160"/>
    </row>
    <row r="402" spans="2:29" ht="12">
      <c r="B402" s="144"/>
      <c r="C402" s="144"/>
      <c r="D402" s="144"/>
      <c r="E402" s="144"/>
      <c r="F402" s="144"/>
      <c r="G402" s="144"/>
      <c r="H402" s="144"/>
      <c r="I402" s="144"/>
      <c r="J402" s="144"/>
      <c r="K402" s="144"/>
      <c r="L402" s="144"/>
      <c r="M402" s="144"/>
      <c r="N402" s="144"/>
      <c r="O402" s="144"/>
      <c r="P402" s="144"/>
      <c r="Q402" s="144"/>
      <c r="R402" s="144"/>
      <c r="S402" s="155"/>
      <c r="T402" s="155"/>
      <c r="U402" s="155"/>
      <c r="V402" s="156"/>
      <c r="W402" s="156"/>
      <c r="X402" s="160"/>
      <c r="Y402" s="160"/>
      <c r="Z402" s="160"/>
      <c r="AA402" s="160"/>
      <c r="AB402" s="160"/>
      <c r="AC402" s="160"/>
    </row>
    <row r="403" spans="2:29" ht="12">
      <c r="B403" s="144"/>
      <c r="C403" s="144"/>
      <c r="D403" s="144"/>
      <c r="E403" s="144"/>
      <c r="F403" s="144"/>
      <c r="G403" s="144"/>
      <c r="H403" s="144"/>
      <c r="I403" s="144"/>
      <c r="J403" s="144"/>
      <c r="K403" s="144"/>
      <c r="L403" s="144"/>
      <c r="M403" s="144"/>
      <c r="N403" s="144"/>
      <c r="O403" s="144"/>
      <c r="P403" s="144"/>
      <c r="Q403" s="144"/>
      <c r="R403" s="144"/>
      <c r="S403" s="155"/>
      <c r="T403" s="155"/>
      <c r="U403" s="155"/>
      <c r="V403" s="156"/>
      <c r="W403" s="156"/>
      <c r="X403" s="160"/>
      <c r="Y403" s="160"/>
      <c r="Z403" s="160"/>
      <c r="AA403" s="160"/>
      <c r="AB403" s="160"/>
      <c r="AC403" s="160"/>
    </row>
    <row r="404" spans="2:29" ht="12">
      <c r="B404" s="144"/>
      <c r="C404" s="144"/>
      <c r="D404" s="144"/>
      <c r="E404" s="144"/>
      <c r="F404" s="144"/>
      <c r="G404" s="144"/>
      <c r="H404" s="144"/>
      <c r="I404" s="144"/>
      <c r="J404" s="144"/>
      <c r="K404" s="144"/>
      <c r="L404" s="144"/>
      <c r="M404" s="144"/>
      <c r="N404" s="144"/>
      <c r="O404" s="144"/>
      <c r="P404" s="144"/>
      <c r="Q404" s="144"/>
      <c r="R404" s="144"/>
      <c r="S404" s="155"/>
      <c r="T404" s="155"/>
      <c r="U404" s="155"/>
      <c r="V404" s="156"/>
      <c r="W404" s="156"/>
      <c r="X404" s="160"/>
      <c r="Y404" s="160"/>
      <c r="Z404" s="160"/>
      <c r="AA404" s="160"/>
      <c r="AB404" s="160"/>
      <c r="AC404" s="160"/>
    </row>
    <row r="405" spans="2:29" ht="12">
      <c r="B405" s="144"/>
      <c r="C405" s="144"/>
      <c r="D405" s="144"/>
      <c r="E405" s="144"/>
      <c r="F405" s="144"/>
      <c r="G405" s="144"/>
      <c r="H405" s="144"/>
      <c r="I405" s="144"/>
      <c r="J405" s="144"/>
      <c r="K405" s="144"/>
      <c r="L405" s="144"/>
      <c r="M405" s="144"/>
      <c r="N405" s="144"/>
      <c r="O405" s="144"/>
      <c r="P405" s="144"/>
      <c r="Q405" s="144"/>
      <c r="R405" s="144"/>
      <c r="S405" s="155"/>
      <c r="T405" s="155"/>
      <c r="U405" s="155"/>
      <c r="V405" s="156"/>
      <c r="W405" s="156"/>
      <c r="X405" s="160"/>
      <c r="Y405" s="160"/>
      <c r="Z405" s="160"/>
      <c r="AA405" s="160"/>
      <c r="AB405" s="160"/>
      <c r="AC405" s="160"/>
    </row>
    <row r="406" spans="2:29" ht="12">
      <c r="B406" s="144"/>
      <c r="C406" s="144"/>
      <c r="D406" s="144"/>
      <c r="E406" s="144"/>
      <c r="F406" s="144"/>
      <c r="G406" s="144"/>
      <c r="H406" s="144"/>
      <c r="I406" s="144"/>
      <c r="J406" s="144"/>
      <c r="K406" s="144"/>
      <c r="L406" s="144"/>
      <c r="M406" s="144"/>
      <c r="N406" s="144"/>
      <c r="O406" s="144"/>
      <c r="P406" s="144"/>
      <c r="Q406" s="144"/>
      <c r="R406" s="144"/>
      <c r="S406" s="155"/>
      <c r="T406" s="155"/>
      <c r="U406" s="155"/>
      <c r="V406" s="156"/>
      <c r="W406" s="156"/>
      <c r="X406" s="160"/>
      <c r="Y406" s="160"/>
      <c r="Z406" s="160"/>
      <c r="AA406" s="160"/>
      <c r="AB406" s="160"/>
      <c r="AC406" s="160"/>
    </row>
    <row r="407" spans="2:29" ht="12">
      <c r="B407" s="144"/>
      <c r="C407" s="144"/>
      <c r="D407" s="144"/>
      <c r="E407" s="144"/>
      <c r="F407" s="144"/>
      <c r="G407" s="144"/>
      <c r="H407" s="144"/>
      <c r="I407" s="144"/>
      <c r="J407" s="144"/>
      <c r="K407" s="144"/>
      <c r="L407" s="144"/>
      <c r="M407" s="144"/>
      <c r="N407" s="144"/>
      <c r="O407" s="144"/>
      <c r="P407" s="144"/>
      <c r="Q407" s="144"/>
      <c r="R407" s="144"/>
      <c r="S407" s="155"/>
      <c r="T407" s="155"/>
      <c r="U407" s="155"/>
      <c r="V407" s="156"/>
      <c r="W407" s="156"/>
      <c r="X407" s="160"/>
      <c r="Y407" s="160"/>
      <c r="Z407" s="160"/>
      <c r="AA407" s="160"/>
      <c r="AB407" s="160"/>
      <c r="AC407" s="160"/>
    </row>
    <row r="408" spans="2:29" ht="12">
      <c r="B408" s="144"/>
      <c r="C408" s="144"/>
      <c r="D408" s="144"/>
      <c r="E408" s="144"/>
      <c r="F408" s="144"/>
      <c r="G408" s="144"/>
      <c r="H408" s="144"/>
      <c r="I408" s="144"/>
      <c r="J408" s="144"/>
      <c r="K408" s="144"/>
      <c r="L408" s="144"/>
      <c r="M408" s="144"/>
      <c r="N408" s="144"/>
      <c r="O408" s="144"/>
      <c r="P408" s="144"/>
      <c r="Q408" s="144"/>
      <c r="R408" s="144"/>
      <c r="S408" s="155"/>
      <c r="T408" s="155"/>
      <c r="U408" s="155"/>
      <c r="V408" s="156"/>
      <c r="W408" s="156"/>
      <c r="X408" s="160"/>
      <c r="Y408" s="160"/>
      <c r="Z408" s="160"/>
      <c r="AA408" s="160"/>
      <c r="AB408" s="160"/>
      <c r="AC408" s="160"/>
    </row>
    <row r="409" spans="2:29" ht="12">
      <c r="B409" s="144"/>
      <c r="C409" s="144"/>
      <c r="D409" s="144"/>
      <c r="E409" s="144"/>
      <c r="F409" s="144"/>
      <c r="G409" s="144"/>
      <c r="H409" s="144"/>
      <c r="I409" s="144"/>
      <c r="J409" s="144"/>
      <c r="K409" s="144"/>
      <c r="L409" s="144"/>
      <c r="M409" s="144"/>
      <c r="N409" s="144"/>
      <c r="O409" s="144"/>
      <c r="P409" s="144"/>
      <c r="Q409" s="144"/>
      <c r="R409" s="144"/>
      <c r="S409" s="155"/>
      <c r="T409" s="155"/>
      <c r="U409" s="155"/>
      <c r="V409" s="156"/>
      <c r="W409" s="156"/>
      <c r="X409" s="160"/>
      <c r="Y409" s="160"/>
      <c r="Z409" s="160"/>
      <c r="AA409" s="160"/>
      <c r="AB409" s="160"/>
      <c r="AC409" s="160"/>
    </row>
    <row r="410" spans="2:29" ht="12">
      <c r="B410" s="144"/>
      <c r="C410" s="144"/>
      <c r="D410" s="144"/>
      <c r="E410" s="144"/>
      <c r="F410" s="144"/>
      <c r="G410" s="144"/>
      <c r="H410" s="144"/>
      <c r="I410" s="144"/>
      <c r="J410" s="144"/>
      <c r="K410" s="144"/>
      <c r="L410" s="144"/>
      <c r="M410" s="144"/>
      <c r="N410" s="144"/>
      <c r="O410" s="144"/>
      <c r="P410" s="144"/>
      <c r="Q410" s="144"/>
      <c r="R410" s="144"/>
      <c r="S410" s="155"/>
      <c r="T410" s="155"/>
      <c r="U410" s="155"/>
      <c r="V410" s="156"/>
      <c r="W410" s="156"/>
      <c r="X410" s="160"/>
      <c r="Y410" s="160"/>
      <c r="Z410" s="160"/>
      <c r="AA410" s="160"/>
      <c r="AB410" s="160"/>
      <c r="AC410" s="160"/>
    </row>
    <row r="411" spans="2:29" ht="12">
      <c r="B411" s="144"/>
      <c r="C411" s="144"/>
      <c r="D411" s="144"/>
      <c r="E411" s="144"/>
      <c r="F411" s="144"/>
      <c r="G411" s="144"/>
      <c r="H411" s="144"/>
      <c r="I411" s="144"/>
      <c r="J411" s="144"/>
      <c r="K411" s="144"/>
      <c r="L411" s="144"/>
      <c r="M411" s="144"/>
      <c r="N411" s="144"/>
      <c r="O411" s="144"/>
      <c r="P411" s="144"/>
      <c r="Q411" s="144"/>
      <c r="R411" s="155"/>
      <c r="S411" s="155"/>
      <c r="T411" s="155"/>
      <c r="U411" s="155"/>
      <c r="V411" s="156"/>
      <c r="W411" s="156"/>
      <c r="X411" s="160"/>
      <c r="Y411" s="160"/>
      <c r="Z411" s="160"/>
      <c r="AA411" s="160"/>
      <c r="AB411" s="160"/>
      <c r="AC411" s="160"/>
    </row>
    <row r="412" spans="2:23" ht="12">
      <c r="B412" s="144"/>
      <c r="C412" s="144"/>
      <c r="D412" s="144"/>
      <c r="E412" s="144"/>
      <c r="F412" s="144"/>
      <c r="G412" s="144"/>
      <c r="H412" s="144"/>
      <c r="I412" s="144"/>
      <c r="J412" s="144"/>
      <c r="K412" s="144"/>
      <c r="L412" s="144"/>
      <c r="M412" s="144"/>
      <c r="N412" s="144"/>
      <c r="O412" s="144"/>
      <c r="P412" s="144"/>
      <c r="Q412" s="144"/>
      <c r="R412" s="155"/>
      <c r="S412" s="155"/>
      <c r="T412" s="155"/>
      <c r="U412" s="155"/>
      <c r="V412" s="156"/>
      <c r="W412" s="156"/>
    </row>
    <row r="413" spans="2:23" ht="12">
      <c r="B413" s="144"/>
      <c r="C413" s="144"/>
      <c r="D413" s="144"/>
      <c r="E413" s="144"/>
      <c r="F413" s="144"/>
      <c r="G413" s="144"/>
      <c r="H413" s="144"/>
      <c r="I413" s="144"/>
      <c r="J413" s="144"/>
      <c r="K413" s="144"/>
      <c r="L413" s="144"/>
      <c r="M413" s="144"/>
      <c r="N413" s="144"/>
      <c r="O413" s="144"/>
      <c r="P413" s="144"/>
      <c r="Q413" s="144"/>
      <c r="R413" s="155"/>
      <c r="S413" s="155"/>
      <c r="T413" s="155"/>
      <c r="U413" s="155"/>
      <c r="V413" s="156"/>
      <c r="W413" s="156"/>
    </row>
    <row r="414" spans="2:23" ht="12">
      <c r="B414" s="144"/>
      <c r="C414" s="144"/>
      <c r="D414" s="144"/>
      <c r="E414" s="144"/>
      <c r="F414" s="144"/>
      <c r="G414" s="144"/>
      <c r="H414" s="144"/>
      <c r="I414" s="144"/>
      <c r="J414" s="144"/>
      <c r="K414" s="144"/>
      <c r="L414" s="144"/>
      <c r="M414" s="144"/>
      <c r="N414" s="144"/>
      <c r="O414" s="144"/>
      <c r="P414" s="144"/>
      <c r="Q414" s="144"/>
      <c r="R414" s="155"/>
      <c r="S414" s="155"/>
      <c r="T414" s="155"/>
      <c r="U414" s="155"/>
      <c r="V414" s="156"/>
      <c r="W414" s="156"/>
    </row>
    <row r="415" spans="2:23" ht="12">
      <c r="B415" s="144"/>
      <c r="C415" s="144"/>
      <c r="D415" s="144"/>
      <c r="E415" s="144"/>
      <c r="F415" s="144"/>
      <c r="G415" s="144"/>
      <c r="H415" s="144"/>
      <c r="I415" s="144"/>
      <c r="J415" s="144"/>
      <c r="K415" s="144"/>
      <c r="L415" s="144"/>
      <c r="M415" s="144"/>
      <c r="N415" s="144"/>
      <c r="O415" s="144"/>
      <c r="P415" s="144"/>
      <c r="Q415" s="144"/>
      <c r="R415" s="155"/>
      <c r="S415" s="155"/>
      <c r="T415" s="155"/>
      <c r="U415" s="155"/>
      <c r="V415" s="156"/>
      <c r="W415" s="156"/>
    </row>
    <row r="416" spans="2:23" ht="12">
      <c r="B416" s="144"/>
      <c r="C416" s="144"/>
      <c r="D416" s="144"/>
      <c r="E416" s="144"/>
      <c r="F416" s="144"/>
      <c r="G416" s="144"/>
      <c r="H416" s="144"/>
      <c r="I416" s="144"/>
      <c r="J416" s="144"/>
      <c r="K416" s="144"/>
      <c r="L416" s="144"/>
      <c r="M416" s="144"/>
      <c r="N416" s="144"/>
      <c r="O416" s="144"/>
      <c r="P416" s="144"/>
      <c r="Q416" s="144"/>
      <c r="R416" s="155"/>
      <c r="S416" s="155"/>
      <c r="T416" s="155"/>
      <c r="U416" s="155"/>
      <c r="V416" s="156"/>
      <c r="W416" s="156"/>
    </row>
    <row r="417" spans="2:23" ht="12">
      <c r="B417" s="155"/>
      <c r="C417" s="144"/>
      <c r="D417" s="144"/>
      <c r="E417" s="144"/>
      <c r="F417" s="144"/>
      <c r="G417" s="144"/>
      <c r="H417" s="144"/>
      <c r="I417" s="144"/>
      <c r="J417" s="144"/>
      <c r="K417" s="144"/>
      <c r="L417" s="144"/>
      <c r="M417" s="144"/>
      <c r="N417" s="144"/>
      <c r="O417" s="144"/>
      <c r="P417" s="144"/>
      <c r="Q417" s="144"/>
      <c r="R417" s="155"/>
      <c r="S417" s="155"/>
      <c r="T417" s="155"/>
      <c r="U417" s="155"/>
      <c r="V417" s="156"/>
      <c r="W417" s="156"/>
    </row>
    <row r="418" spans="2:23" ht="12">
      <c r="B418" s="155"/>
      <c r="C418" s="144"/>
      <c r="D418" s="144"/>
      <c r="E418" s="144"/>
      <c r="F418" s="144"/>
      <c r="G418" s="144"/>
      <c r="H418" s="144"/>
      <c r="I418" s="144"/>
      <c r="J418" s="144"/>
      <c r="K418" s="144"/>
      <c r="L418" s="144"/>
      <c r="M418" s="144"/>
      <c r="N418" s="144"/>
      <c r="O418" s="144"/>
      <c r="P418" s="144"/>
      <c r="Q418" s="144"/>
      <c r="R418" s="155"/>
      <c r="S418" s="155"/>
      <c r="T418" s="155"/>
      <c r="U418" s="155"/>
      <c r="V418" s="156"/>
      <c r="W418" s="156"/>
    </row>
    <row r="419" spans="2:23" ht="12">
      <c r="B419" s="155"/>
      <c r="C419" s="144"/>
      <c r="D419" s="144"/>
      <c r="E419" s="144"/>
      <c r="F419" s="144"/>
      <c r="G419" s="144"/>
      <c r="H419" s="144"/>
      <c r="I419" s="144"/>
      <c r="J419" s="144"/>
      <c r="K419" s="144"/>
      <c r="L419" s="144"/>
      <c r="M419" s="144"/>
      <c r="N419" s="144"/>
      <c r="O419" s="144"/>
      <c r="P419" s="144"/>
      <c r="Q419" s="144"/>
      <c r="R419" s="155"/>
      <c r="S419" s="155"/>
      <c r="T419" s="155"/>
      <c r="U419" s="155"/>
      <c r="V419" s="156"/>
      <c r="W419" s="156"/>
    </row>
    <row r="420" spans="2:23" ht="12">
      <c r="B420" s="155"/>
      <c r="C420" s="155"/>
      <c r="D420" s="155"/>
      <c r="E420" s="155"/>
      <c r="F420" s="155"/>
      <c r="G420" s="155"/>
      <c r="H420" s="155"/>
      <c r="I420" s="155"/>
      <c r="J420" s="155"/>
      <c r="K420" s="159"/>
      <c r="L420" s="159"/>
      <c r="M420" s="144"/>
      <c r="N420" s="144"/>
      <c r="O420" s="159"/>
      <c r="P420" s="144"/>
      <c r="Q420" s="144"/>
      <c r="R420" s="155"/>
      <c r="S420" s="155"/>
      <c r="T420" s="155"/>
      <c r="U420" s="155"/>
      <c r="V420" s="156"/>
      <c r="W420" s="156"/>
    </row>
    <row r="421" spans="2:23" ht="12">
      <c r="B421" s="155"/>
      <c r="C421" s="155"/>
      <c r="D421" s="155"/>
      <c r="E421" s="155"/>
      <c r="F421" s="155"/>
      <c r="G421" s="155"/>
      <c r="H421" s="155"/>
      <c r="I421" s="155"/>
      <c r="J421" s="155"/>
      <c r="K421" s="159"/>
      <c r="L421" s="159"/>
      <c r="M421" s="144"/>
      <c r="N421" s="144"/>
      <c r="O421" s="159"/>
      <c r="P421" s="159"/>
      <c r="Q421" s="159"/>
      <c r="R421" s="155"/>
      <c r="S421" s="155"/>
      <c r="T421" s="155"/>
      <c r="U421" s="155"/>
      <c r="V421" s="156"/>
      <c r="W421" s="156"/>
    </row>
    <row r="422" spans="2:23" ht="12">
      <c r="B422" s="155"/>
      <c r="C422" s="155"/>
      <c r="D422" s="155"/>
      <c r="E422" s="155"/>
      <c r="F422" s="155"/>
      <c r="G422" s="155"/>
      <c r="H422" s="155"/>
      <c r="I422" s="155"/>
      <c r="J422" s="155"/>
      <c r="K422" s="159"/>
      <c r="L422" s="159"/>
      <c r="M422" s="144"/>
      <c r="N422" s="159"/>
      <c r="O422" s="159"/>
      <c r="P422" s="159"/>
      <c r="Q422" s="159"/>
      <c r="R422" s="155"/>
      <c r="S422" s="155"/>
      <c r="T422" s="155"/>
      <c r="U422" s="155"/>
      <c r="V422" s="156"/>
      <c r="W422" s="156"/>
    </row>
    <row r="423" spans="2:23" ht="12">
      <c r="B423" s="155"/>
      <c r="C423" s="155"/>
      <c r="D423" s="155"/>
      <c r="E423" s="155"/>
      <c r="F423" s="155"/>
      <c r="G423" s="155"/>
      <c r="H423" s="155"/>
      <c r="I423" s="155"/>
      <c r="J423" s="155"/>
      <c r="K423" s="159"/>
      <c r="L423" s="159"/>
      <c r="M423" s="144"/>
      <c r="N423" s="159"/>
      <c r="O423" s="159"/>
      <c r="P423" s="159"/>
      <c r="Q423" s="159"/>
      <c r="R423" s="155"/>
      <c r="S423" s="155"/>
      <c r="T423" s="155"/>
      <c r="U423" s="155"/>
      <c r="V423" s="156"/>
      <c r="W423" s="156"/>
    </row>
    <row r="424" spans="2:23" ht="12">
      <c r="B424" s="155"/>
      <c r="C424" s="155"/>
      <c r="D424" s="155"/>
      <c r="E424" s="155"/>
      <c r="F424" s="155"/>
      <c r="G424" s="155"/>
      <c r="H424" s="155"/>
      <c r="I424" s="155"/>
      <c r="J424" s="155"/>
      <c r="K424" s="159"/>
      <c r="L424" s="159"/>
      <c r="M424" s="144"/>
      <c r="N424" s="159"/>
      <c r="O424" s="159"/>
      <c r="P424" s="159"/>
      <c r="Q424" s="159"/>
      <c r="R424" s="155"/>
      <c r="S424" s="155"/>
      <c r="T424" s="155"/>
      <c r="U424" s="155"/>
      <c r="V424" s="156"/>
      <c r="W424" s="156"/>
    </row>
    <row r="425" spans="2:23" ht="12">
      <c r="B425" s="155"/>
      <c r="C425" s="155"/>
      <c r="D425" s="155"/>
      <c r="E425" s="155"/>
      <c r="F425" s="155"/>
      <c r="G425" s="155"/>
      <c r="H425" s="155"/>
      <c r="I425" s="155"/>
      <c r="J425" s="155"/>
      <c r="K425" s="159"/>
      <c r="L425" s="159"/>
      <c r="M425" s="144"/>
      <c r="N425" s="159"/>
      <c r="O425" s="159"/>
      <c r="P425" s="159"/>
      <c r="Q425" s="159"/>
      <c r="R425" s="155"/>
      <c r="S425" s="155"/>
      <c r="T425" s="155"/>
      <c r="U425" s="155"/>
      <c r="V425" s="156"/>
      <c r="W425" s="156"/>
    </row>
    <row r="426" spans="2:23" ht="9.75">
      <c r="B426" s="155"/>
      <c r="C426" s="155"/>
      <c r="D426" s="155"/>
      <c r="E426" s="155"/>
      <c r="F426" s="155"/>
      <c r="G426" s="155"/>
      <c r="H426" s="155"/>
      <c r="I426" s="155"/>
      <c r="J426" s="155"/>
      <c r="K426" s="159"/>
      <c r="L426" s="159"/>
      <c r="M426" s="159"/>
      <c r="N426" s="159"/>
      <c r="O426" s="159"/>
      <c r="P426" s="159"/>
      <c r="Q426" s="159"/>
      <c r="R426" s="155"/>
      <c r="S426" s="155"/>
      <c r="T426" s="155"/>
      <c r="U426" s="155"/>
      <c r="V426" s="156"/>
      <c r="W426" s="156"/>
    </row>
    <row r="427" spans="2:23" ht="9.75">
      <c r="B427" s="155"/>
      <c r="C427" s="155"/>
      <c r="D427" s="155"/>
      <c r="E427" s="155"/>
      <c r="F427" s="155"/>
      <c r="G427" s="155"/>
      <c r="H427" s="155"/>
      <c r="I427" s="155"/>
      <c r="J427" s="155"/>
      <c r="K427" s="159"/>
      <c r="L427" s="159"/>
      <c r="M427" s="159"/>
      <c r="N427" s="159"/>
      <c r="O427" s="159"/>
      <c r="P427" s="159"/>
      <c r="Q427" s="159"/>
      <c r="R427" s="155"/>
      <c r="S427" s="155"/>
      <c r="T427" s="155"/>
      <c r="U427" s="155"/>
      <c r="V427" s="156"/>
      <c r="W427" s="156"/>
    </row>
    <row r="428" spans="2:23" ht="9.75">
      <c r="B428" s="155"/>
      <c r="C428" s="155"/>
      <c r="D428" s="155"/>
      <c r="E428" s="155"/>
      <c r="F428" s="155"/>
      <c r="G428" s="155"/>
      <c r="H428" s="155"/>
      <c r="I428" s="155"/>
      <c r="J428" s="155"/>
      <c r="K428" s="159"/>
      <c r="L428" s="159"/>
      <c r="M428" s="159"/>
      <c r="N428" s="159"/>
      <c r="O428" s="159"/>
      <c r="P428" s="159"/>
      <c r="Q428" s="159"/>
      <c r="R428" s="155"/>
      <c r="S428" s="155"/>
      <c r="T428" s="155"/>
      <c r="U428" s="155"/>
      <c r="V428" s="156"/>
      <c r="W428" s="156"/>
    </row>
    <row r="429" spans="2:23" ht="9.75">
      <c r="B429" s="155"/>
      <c r="C429" s="155"/>
      <c r="D429" s="155"/>
      <c r="E429" s="155"/>
      <c r="F429" s="155"/>
      <c r="G429" s="155"/>
      <c r="H429" s="155"/>
      <c r="I429" s="155"/>
      <c r="J429" s="155"/>
      <c r="K429" s="159"/>
      <c r="L429" s="159"/>
      <c r="M429" s="159"/>
      <c r="N429" s="159"/>
      <c r="O429" s="159"/>
      <c r="P429" s="159"/>
      <c r="Q429" s="159"/>
      <c r="R429" s="155"/>
      <c r="S429" s="155"/>
      <c r="T429" s="155"/>
      <c r="U429" s="155"/>
      <c r="V429" s="156"/>
      <c r="W429" s="156"/>
    </row>
    <row r="430" spans="2:23" ht="9.75">
      <c r="B430" s="155"/>
      <c r="C430" s="155"/>
      <c r="D430" s="155"/>
      <c r="E430" s="155"/>
      <c r="F430" s="155"/>
      <c r="G430" s="155"/>
      <c r="H430" s="155"/>
      <c r="I430" s="155"/>
      <c r="J430" s="155"/>
      <c r="K430" s="159"/>
      <c r="L430" s="159"/>
      <c r="M430" s="159"/>
      <c r="N430" s="159"/>
      <c r="O430" s="159"/>
      <c r="P430" s="159"/>
      <c r="Q430" s="159"/>
      <c r="R430" s="155"/>
      <c r="S430" s="155"/>
      <c r="T430" s="155"/>
      <c r="U430" s="155"/>
      <c r="V430" s="156"/>
      <c r="W430" s="156"/>
    </row>
    <row r="431" spans="2:23" ht="9.75">
      <c r="B431" s="155"/>
      <c r="C431" s="155"/>
      <c r="D431" s="155"/>
      <c r="E431" s="155"/>
      <c r="F431" s="155"/>
      <c r="G431" s="155"/>
      <c r="H431" s="155"/>
      <c r="I431" s="155"/>
      <c r="J431" s="155"/>
      <c r="K431" s="159"/>
      <c r="L431" s="159"/>
      <c r="M431" s="159"/>
      <c r="N431" s="159"/>
      <c r="O431" s="159"/>
      <c r="P431" s="159"/>
      <c r="Q431" s="159"/>
      <c r="R431" s="155"/>
      <c r="S431" s="155"/>
      <c r="T431" s="155"/>
      <c r="U431" s="155"/>
      <c r="V431" s="156"/>
      <c r="W431" s="156"/>
    </row>
    <row r="432" spans="2:23" ht="9.75">
      <c r="B432" s="155"/>
      <c r="C432" s="155"/>
      <c r="D432" s="155"/>
      <c r="E432" s="155"/>
      <c r="F432" s="155"/>
      <c r="G432" s="155"/>
      <c r="H432" s="155"/>
      <c r="I432" s="155"/>
      <c r="J432" s="155"/>
      <c r="K432" s="159"/>
      <c r="L432" s="159"/>
      <c r="M432" s="159"/>
      <c r="N432" s="159"/>
      <c r="O432" s="159"/>
      <c r="P432" s="159"/>
      <c r="Q432" s="159"/>
      <c r="R432" s="155"/>
      <c r="S432" s="155"/>
      <c r="T432" s="155"/>
      <c r="U432" s="155"/>
      <c r="V432" s="156"/>
      <c r="W432" s="156"/>
    </row>
    <row r="433" spans="2:23" ht="9.75">
      <c r="B433" s="155"/>
      <c r="C433" s="155"/>
      <c r="D433" s="155"/>
      <c r="E433" s="155"/>
      <c r="F433" s="155"/>
      <c r="G433" s="155"/>
      <c r="H433" s="155"/>
      <c r="I433" s="155"/>
      <c r="J433" s="155"/>
      <c r="K433" s="159"/>
      <c r="L433" s="159"/>
      <c r="M433" s="159"/>
      <c r="N433" s="159"/>
      <c r="O433" s="159"/>
      <c r="P433" s="159"/>
      <c r="Q433" s="159"/>
      <c r="R433" s="155"/>
      <c r="S433" s="155"/>
      <c r="T433" s="155"/>
      <c r="U433" s="155"/>
      <c r="V433" s="156"/>
      <c r="W433" s="156"/>
    </row>
    <row r="434" spans="2:23" ht="9.75">
      <c r="B434" s="155"/>
      <c r="C434" s="155"/>
      <c r="D434" s="155"/>
      <c r="E434" s="155"/>
      <c r="F434" s="155"/>
      <c r="G434" s="155"/>
      <c r="H434" s="155"/>
      <c r="I434" s="155"/>
      <c r="J434" s="155"/>
      <c r="K434" s="159"/>
      <c r="L434" s="159"/>
      <c r="M434" s="159"/>
      <c r="N434" s="159"/>
      <c r="O434" s="159"/>
      <c r="P434" s="159"/>
      <c r="Q434" s="159"/>
      <c r="R434" s="155"/>
      <c r="S434" s="155"/>
      <c r="T434" s="155"/>
      <c r="U434" s="155"/>
      <c r="V434" s="156"/>
      <c r="W434" s="156"/>
    </row>
    <row r="435" spans="2:23" ht="9.75">
      <c r="B435" s="155"/>
      <c r="C435" s="155"/>
      <c r="D435" s="155"/>
      <c r="E435" s="155"/>
      <c r="F435" s="155"/>
      <c r="G435" s="155"/>
      <c r="H435" s="155"/>
      <c r="I435" s="155"/>
      <c r="J435" s="155"/>
      <c r="K435" s="159"/>
      <c r="L435" s="159"/>
      <c r="M435" s="159"/>
      <c r="N435" s="159"/>
      <c r="O435" s="159"/>
      <c r="P435" s="159"/>
      <c r="Q435" s="159"/>
      <c r="R435" s="155"/>
      <c r="S435" s="155"/>
      <c r="T435" s="155"/>
      <c r="U435" s="155"/>
      <c r="V435" s="156"/>
      <c r="W435" s="156"/>
    </row>
    <row r="436" spans="2:23" ht="9.75">
      <c r="B436" s="155"/>
      <c r="C436" s="155"/>
      <c r="D436" s="155"/>
      <c r="E436" s="155"/>
      <c r="F436" s="155"/>
      <c r="G436" s="155"/>
      <c r="H436" s="155"/>
      <c r="I436" s="155"/>
      <c r="J436" s="155"/>
      <c r="K436" s="159"/>
      <c r="L436" s="159"/>
      <c r="M436" s="159"/>
      <c r="N436" s="159"/>
      <c r="O436" s="159"/>
      <c r="P436" s="159"/>
      <c r="Q436" s="159"/>
      <c r="R436" s="155"/>
      <c r="S436" s="155"/>
      <c r="T436" s="155"/>
      <c r="U436" s="155"/>
      <c r="V436" s="156"/>
      <c r="W436" s="156"/>
    </row>
    <row r="437" spans="2:23" ht="9.75">
      <c r="B437" s="155"/>
      <c r="C437" s="155"/>
      <c r="D437" s="155"/>
      <c r="E437" s="155"/>
      <c r="F437" s="155"/>
      <c r="G437" s="155"/>
      <c r="H437" s="155"/>
      <c r="I437" s="155"/>
      <c r="J437" s="155"/>
      <c r="K437" s="159"/>
      <c r="L437" s="159"/>
      <c r="M437" s="159"/>
      <c r="N437" s="159"/>
      <c r="O437" s="159"/>
      <c r="P437" s="159"/>
      <c r="Q437" s="159"/>
      <c r="R437" s="155"/>
      <c r="S437" s="155"/>
      <c r="T437" s="155"/>
      <c r="U437" s="155"/>
      <c r="V437" s="156"/>
      <c r="W437" s="156"/>
    </row>
    <row r="438" spans="2:23" ht="9.75">
      <c r="B438" s="155"/>
      <c r="C438" s="155"/>
      <c r="D438" s="155"/>
      <c r="E438" s="155"/>
      <c r="F438" s="155"/>
      <c r="G438" s="155"/>
      <c r="H438" s="155"/>
      <c r="I438" s="155"/>
      <c r="J438" s="155"/>
      <c r="K438" s="159"/>
      <c r="L438" s="159"/>
      <c r="M438" s="159"/>
      <c r="N438" s="159"/>
      <c r="O438" s="159"/>
      <c r="P438" s="159"/>
      <c r="Q438" s="159"/>
      <c r="R438" s="155"/>
      <c r="S438" s="155"/>
      <c r="T438" s="155"/>
      <c r="U438" s="155"/>
      <c r="V438" s="156"/>
      <c r="W438" s="156"/>
    </row>
    <row r="439" spans="2:23" ht="9.75">
      <c r="B439" s="155"/>
      <c r="C439" s="155"/>
      <c r="D439" s="155"/>
      <c r="E439" s="155"/>
      <c r="F439" s="155"/>
      <c r="G439" s="155"/>
      <c r="H439" s="155"/>
      <c r="I439" s="155"/>
      <c r="J439" s="155"/>
      <c r="K439" s="159"/>
      <c r="L439" s="159"/>
      <c r="M439" s="159"/>
      <c r="N439" s="159"/>
      <c r="O439" s="159"/>
      <c r="P439" s="159"/>
      <c r="Q439" s="159"/>
      <c r="R439" s="155"/>
      <c r="S439" s="155"/>
      <c r="T439" s="155"/>
      <c r="U439" s="155"/>
      <c r="V439" s="156"/>
      <c r="W439" s="156"/>
    </row>
    <row r="440" spans="2:23" ht="9.75">
      <c r="B440" s="155"/>
      <c r="C440" s="155"/>
      <c r="D440" s="155"/>
      <c r="E440" s="155"/>
      <c r="F440" s="155"/>
      <c r="G440" s="155"/>
      <c r="H440" s="155"/>
      <c r="I440" s="155"/>
      <c r="J440" s="155"/>
      <c r="K440" s="159"/>
      <c r="L440" s="159"/>
      <c r="M440" s="159"/>
      <c r="N440" s="159"/>
      <c r="O440" s="159"/>
      <c r="P440" s="159"/>
      <c r="Q440" s="159"/>
      <c r="R440" s="155"/>
      <c r="S440" s="155"/>
      <c r="T440" s="155"/>
      <c r="U440" s="155"/>
      <c r="V440" s="156"/>
      <c r="W440" s="156"/>
    </row>
    <row r="441" spans="2:23" ht="9.75">
      <c r="B441" s="155"/>
      <c r="C441" s="155"/>
      <c r="D441" s="155"/>
      <c r="E441" s="155"/>
      <c r="F441" s="155"/>
      <c r="G441" s="155"/>
      <c r="H441" s="155"/>
      <c r="I441" s="155"/>
      <c r="J441" s="155"/>
      <c r="K441" s="159"/>
      <c r="L441" s="159"/>
      <c r="M441" s="159"/>
      <c r="N441" s="159"/>
      <c r="O441" s="159"/>
      <c r="P441" s="159"/>
      <c r="Q441" s="159"/>
      <c r="R441" s="155"/>
      <c r="S441" s="155"/>
      <c r="T441" s="155"/>
      <c r="U441" s="155"/>
      <c r="V441" s="156"/>
      <c r="W441" s="156"/>
    </row>
    <row r="442" spans="2:23" ht="9.75">
      <c r="B442" s="155"/>
      <c r="C442" s="155"/>
      <c r="D442" s="155"/>
      <c r="E442" s="155"/>
      <c r="F442" s="155"/>
      <c r="G442" s="155"/>
      <c r="H442" s="155"/>
      <c r="I442" s="155"/>
      <c r="J442" s="155"/>
      <c r="K442" s="159"/>
      <c r="L442" s="159"/>
      <c r="M442" s="159"/>
      <c r="N442" s="159"/>
      <c r="O442" s="159"/>
      <c r="P442" s="159"/>
      <c r="Q442" s="159"/>
      <c r="R442" s="155"/>
      <c r="S442" s="155"/>
      <c r="T442" s="155"/>
      <c r="U442" s="155"/>
      <c r="V442" s="156"/>
      <c r="W442" s="156"/>
    </row>
    <row r="443" spans="2:23" ht="9.75">
      <c r="B443" s="155"/>
      <c r="C443" s="155"/>
      <c r="D443" s="155"/>
      <c r="E443" s="155"/>
      <c r="F443" s="155"/>
      <c r="G443" s="155"/>
      <c r="H443" s="155"/>
      <c r="I443" s="155"/>
      <c r="J443" s="155"/>
      <c r="K443" s="159"/>
      <c r="L443" s="159"/>
      <c r="M443" s="159"/>
      <c r="N443" s="159"/>
      <c r="O443" s="159"/>
      <c r="P443" s="159"/>
      <c r="Q443" s="159"/>
      <c r="R443" s="155"/>
      <c r="S443" s="155"/>
      <c r="T443" s="155"/>
      <c r="U443" s="155"/>
      <c r="V443" s="156"/>
      <c r="W443" s="156"/>
    </row>
    <row r="444" spans="2:23" ht="9.75">
      <c r="B444" s="155"/>
      <c r="C444" s="155"/>
      <c r="D444" s="155"/>
      <c r="E444" s="155"/>
      <c r="F444" s="155"/>
      <c r="G444" s="155"/>
      <c r="H444" s="155"/>
      <c r="I444" s="155"/>
      <c r="J444" s="155"/>
      <c r="K444" s="159"/>
      <c r="L444" s="159"/>
      <c r="M444" s="159"/>
      <c r="N444" s="159"/>
      <c r="O444" s="159"/>
      <c r="P444" s="159"/>
      <c r="Q444" s="159"/>
      <c r="R444" s="155"/>
      <c r="S444" s="155"/>
      <c r="T444" s="155"/>
      <c r="U444" s="155"/>
      <c r="V444" s="156"/>
      <c r="W444" s="156"/>
    </row>
    <row r="445" spans="2:23" ht="9.75">
      <c r="B445" s="155"/>
      <c r="C445" s="155"/>
      <c r="D445" s="155"/>
      <c r="E445" s="155"/>
      <c r="F445" s="155"/>
      <c r="G445" s="155"/>
      <c r="H445" s="155"/>
      <c r="I445" s="155"/>
      <c r="J445" s="155"/>
      <c r="K445" s="159"/>
      <c r="L445" s="159"/>
      <c r="M445" s="159"/>
      <c r="N445" s="159"/>
      <c r="O445" s="159"/>
      <c r="P445" s="159"/>
      <c r="Q445" s="159"/>
      <c r="R445" s="155"/>
      <c r="S445" s="155"/>
      <c r="T445" s="155"/>
      <c r="U445" s="155"/>
      <c r="V445" s="156"/>
      <c r="W445" s="156"/>
    </row>
    <row r="446" spans="2:23" ht="9.75">
      <c r="B446" s="155"/>
      <c r="C446" s="155"/>
      <c r="D446" s="155"/>
      <c r="E446" s="155"/>
      <c r="F446" s="155"/>
      <c r="G446" s="155"/>
      <c r="H446" s="155"/>
      <c r="I446" s="155"/>
      <c r="J446" s="155"/>
      <c r="K446" s="159"/>
      <c r="L446" s="159"/>
      <c r="M446" s="159"/>
      <c r="N446" s="159"/>
      <c r="O446" s="159"/>
      <c r="P446" s="159"/>
      <c r="Q446" s="159"/>
      <c r="R446" s="155"/>
      <c r="S446" s="155"/>
      <c r="T446" s="155"/>
      <c r="U446" s="155"/>
      <c r="V446" s="156"/>
      <c r="W446" s="156"/>
    </row>
    <row r="447" spans="2:23" ht="9.75">
      <c r="B447" s="155"/>
      <c r="C447" s="155"/>
      <c r="D447" s="155"/>
      <c r="E447" s="155"/>
      <c r="F447" s="155"/>
      <c r="G447" s="155"/>
      <c r="H447" s="155"/>
      <c r="I447" s="155"/>
      <c r="J447" s="155"/>
      <c r="K447" s="159"/>
      <c r="L447" s="159"/>
      <c r="M447" s="159"/>
      <c r="N447" s="159"/>
      <c r="O447" s="159"/>
      <c r="P447" s="159"/>
      <c r="Q447" s="159"/>
      <c r="R447" s="155"/>
      <c r="S447" s="155"/>
      <c r="T447" s="155"/>
      <c r="U447" s="155"/>
      <c r="V447" s="156"/>
      <c r="W447" s="156"/>
    </row>
    <row r="448" spans="2:23" ht="9.75">
      <c r="B448" s="155"/>
      <c r="C448" s="155"/>
      <c r="D448" s="155"/>
      <c r="E448" s="155"/>
      <c r="F448" s="155"/>
      <c r="G448" s="155"/>
      <c r="H448" s="155"/>
      <c r="I448" s="155"/>
      <c r="J448" s="155"/>
      <c r="K448" s="159"/>
      <c r="L448" s="159"/>
      <c r="M448" s="159"/>
      <c r="N448" s="159"/>
      <c r="O448" s="159"/>
      <c r="P448" s="159"/>
      <c r="Q448" s="159"/>
      <c r="R448" s="155"/>
      <c r="S448" s="155"/>
      <c r="T448" s="155"/>
      <c r="U448" s="155"/>
      <c r="V448" s="156"/>
      <c r="W448" s="156"/>
    </row>
    <row r="449" spans="2:23" ht="9.75">
      <c r="B449" s="155"/>
      <c r="C449" s="155"/>
      <c r="D449" s="155"/>
      <c r="E449" s="155"/>
      <c r="F449" s="155"/>
      <c r="G449" s="155"/>
      <c r="H449" s="155"/>
      <c r="I449" s="155"/>
      <c r="J449" s="155"/>
      <c r="K449" s="159"/>
      <c r="L449" s="159"/>
      <c r="M449" s="159"/>
      <c r="N449" s="159"/>
      <c r="O449" s="159"/>
      <c r="P449" s="159"/>
      <c r="Q449" s="159"/>
      <c r="R449" s="155"/>
      <c r="S449" s="155"/>
      <c r="T449" s="155"/>
      <c r="U449" s="155"/>
      <c r="V449" s="156"/>
      <c r="W449" s="156"/>
    </row>
    <row r="450" spans="2:23" ht="9.75">
      <c r="B450" s="155"/>
      <c r="C450" s="155"/>
      <c r="D450" s="155"/>
      <c r="E450" s="155"/>
      <c r="F450" s="155"/>
      <c r="G450" s="155"/>
      <c r="H450" s="155"/>
      <c r="I450" s="155"/>
      <c r="J450" s="155"/>
      <c r="K450" s="159"/>
      <c r="L450" s="159"/>
      <c r="M450" s="159"/>
      <c r="N450" s="159"/>
      <c r="O450" s="159"/>
      <c r="P450" s="159"/>
      <c r="Q450" s="159"/>
      <c r="R450" s="155"/>
      <c r="S450" s="155"/>
      <c r="T450" s="155"/>
      <c r="U450" s="155"/>
      <c r="V450" s="156"/>
      <c r="W450" s="156"/>
    </row>
    <row r="451" spans="2:23" ht="9.75">
      <c r="B451" s="155"/>
      <c r="C451" s="155"/>
      <c r="D451" s="155"/>
      <c r="E451" s="155"/>
      <c r="F451" s="155"/>
      <c r="G451" s="155"/>
      <c r="H451" s="155"/>
      <c r="I451" s="155"/>
      <c r="J451" s="155"/>
      <c r="K451" s="159"/>
      <c r="L451" s="159"/>
      <c r="M451" s="159"/>
      <c r="N451" s="159"/>
      <c r="O451" s="159"/>
      <c r="P451" s="159"/>
      <c r="Q451" s="159"/>
      <c r="R451" s="155"/>
      <c r="S451" s="155"/>
      <c r="T451" s="155"/>
      <c r="U451" s="155"/>
      <c r="V451" s="156"/>
      <c r="W451" s="156"/>
    </row>
    <row r="452" spans="2:23" ht="9.75">
      <c r="B452" s="155"/>
      <c r="C452" s="155"/>
      <c r="D452" s="155"/>
      <c r="E452" s="155"/>
      <c r="F452" s="155"/>
      <c r="G452" s="155"/>
      <c r="H452" s="155"/>
      <c r="I452" s="155"/>
      <c r="J452" s="155"/>
      <c r="K452" s="159"/>
      <c r="L452" s="159"/>
      <c r="M452" s="159"/>
      <c r="N452" s="159"/>
      <c r="O452" s="159"/>
      <c r="P452" s="159"/>
      <c r="Q452" s="159"/>
      <c r="R452" s="155"/>
      <c r="S452" s="155"/>
      <c r="T452" s="155"/>
      <c r="U452" s="155"/>
      <c r="V452" s="156"/>
      <c r="W452" s="156"/>
    </row>
    <row r="453" spans="2:23" ht="9.75">
      <c r="B453" s="155"/>
      <c r="C453" s="155"/>
      <c r="D453" s="155"/>
      <c r="E453" s="155"/>
      <c r="F453" s="155"/>
      <c r="G453" s="155"/>
      <c r="H453" s="155"/>
      <c r="I453" s="155"/>
      <c r="J453" s="155"/>
      <c r="K453" s="159"/>
      <c r="L453" s="159"/>
      <c r="M453" s="159"/>
      <c r="N453" s="159"/>
      <c r="O453" s="159"/>
      <c r="P453" s="159"/>
      <c r="Q453" s="159"/>
      <c r="R453" s="155"/>
      <c r="S453" s="155"/>
      <c r="T453" s="155"/>
      <c r="U453" s="155"/>
      <c r="V453" s="156"/>
      <c r="W453" s="156"/>
    </row>
    <row r="454" spans="2:23" ht="9.75">
      <c r="B454" s="155"/>
      <c r="C454" s="155"/>
      <c r="D454" s="155"/>
      <c r="E454" s="155"/>
      <c r="F454" s="155"/>
      <c r="G454" s="155"/>
      <c r="H454" s="155"/>
      <c r="I454" s="155"/>
      <c r="J454" s="155"/>
      <c r="K454" s="159"/>
      <c r="L454" s="159"/>
      <c r="M454" s="159"/>
      <c r="N454" s="159"/>
      <c r="O454" s="159"/>
      <c r="P454" s="159"/>
      <c r="Q454" s="159"/>
      <c r="R454" s="155"/>
      <c r="S454" s="155"/>
      <c r="T454" s="155"/>
      <c r="U454" s="155"/>
      <c r="V454" s="156"/>
      <c r="W454" s="156"/>
    </row>
    <row r="455" spans="2:23" ht="9.75">
      <c r="B455" s="155"/>
      <c r="C455" s="155"/>
      <c r="D455" s="155"/>
      <c r="E455" s="155"/>
      <c r="F455" s="155"/>
      <c r="G455" s="155"/>
      <c r="H455" s="155"/>
      <c r="I455" s="155"/>
      <c r="J455" s="155"/>
      <c r="K455" s="159"/>
      <c r="L455" s="159"/>
      <c r="M455" s="159"/>
      <c r="N455" s="159"/>
      <c r="O455" s="159"/>
      <c r="P455" s="159"/>
      <c r="Q455" s="159"/>
      <c r="R455" s="155"/>
      <c r="S455" s="155"/>
      <c r="T455" s="155"/>
      <c r="U455" s="155"/>
      <c r="V455" s="156"/>
      <c r="W455" s="156"/>
    </row>
    <row r="456" spans="2:23" ht="9.75">
      <c r="B456" s="155"/>
      <c r="C456" s="155"/>
      <c r="D456" s="155"/>
      <c r="E456" s="155"/>
      <c r="F456" s="155"/>
      <c r="G456" s="155"/>
      <c r="H456" s="155"/>
      <c r="I456" s="155"/>
      <c r="J456" s="155"/>
      <c r="K456" s="159"/>
      <c r="L456" s="159"/>
      <c r="M456" s="159"/>
      <c r="N456" s="159"/>
      <c r="O456" s="159"/>
      <c r="P456" s="159"/>
      <c r="Q456" s="159"/>
      <c r="R456" s="155"/>
      <c r="S456" s="155"/>
      <c r="T456" s="155"/>
      <c r="U456" s="155"/>
      <c r="V456" s="156"/>
      <c r="W456" s="156"/>
    </row>
    <row r="457" spans="2:23" ht="9.75">
      <c r="B457" s="155"/>
      <c r="C457" s="155"/>
      <c r="D457" s="155"/>
      <c r="E457" s="155"/>
      <c r="F457" s="155"/>
      <c r="G457" s="155"/>
      <c r="H457" s="155"/>
      <c r="I457" s="155"/>
      <c r="J457" s="155"/>
      <c r="K457" s="159"/>
      <c r="L457" s="159"/>
      <c r="M457" s="159"/>
      <c r="N457" s="159"/>
      <c r="O457" s="159"/>
      <c r="P457" s="159"/>
      <c r="Q457" s="159"/>
      <c r="R457" s="155"/>
      <c r="S457" s="155"/>
      <c r="T457" s="155"/>
      <c r="U457" s="155"/>
      <c r="V457" s="156"/>
      <c r="W457" s="156"/>
    </row>
    <row r="458" spans="2:23" ht="9.75">
      <c r="B458" s="155"/>
      <c r="C458" s="155"/>
      <c r="D458" s="155"/>
      <c r="E458" s="155"/>
      <c r="F458" s="155"/>
      <c r="G458" s="155"/>
      <c r="H458" s="155"/>
      <c r="I458" s="155"/>
      <c r="J458" s="155"/>
      <c r="K458" s="159"/>
      <c r="L458" s="159"/>
      <c r="M458" s="159"/>
      <c r="N458" s="159"/>
      <c r="O458" s="159"/>
      <c r="P458" s="159"/>
      <c r="Q458" s="159"/>
      <c r="R458" s="155"/>
      <c r="S458" s="155"/>
      <c r="T458" s="155"/>
      <c r="U458" s="155"/>
      <c r="V458" s="156"/>
      <c r="W458" s="156"/>
    </row>
    <row r="459" spans="2:23" ht="9.75">
      <c r="B459" s="155"/>
      <c r="C459" s="155"/>
      <c r="D459" s="155"/>
      <c r="E459" s="155"/>
      <c r="F459" s="155"/>
      <c r="G459" s="155"/>
      <c r="H459" s="155"/>
      <c r="I459" s="155"/>
      <c r="J459" s="155"/>
      <c r="K459" s="159"/>
      <c r="L459" s="159"/>
      <c r="M459" s="159"/>
      <c r="N459" s="159"/>
      <c r="O459" s="159"/>
      <c r="P459" s="159"/>
      <c r="Q459" s="159"/>
      <c r="R459" s="155"/>
      <c r="S459" s="155"/>
      <c r="T459" s="155"/>
      <c r="U459" s="155"/>
      <c r="V459" s="156"/>
      <c r="W459" s="156"/>
    </row>
    <row r="460" spans="2:23" ht="9.75">
      <c r="B460" s="155"/>
      <c r="C460" s="155"/>
      <c r="D460" s="155"/>
      <c r="E460" s="155"/>
      <c r="F460" s="155"/>
      <c r="G460" s="155"/>
      <c r="H460" s="155"/>
      <c r="I460" s="155"/>
      <c r="J460" s="155"/>
      <c r="K460" s="159"/>
      <c r="L460" s="159"/>
      <c r="M460" s="159"/>
      <c r="N460" s="159"/>
      <c r="O460" s="159"/>
      <c r="P460" s="159"/>
      <c r="Q460" s="159"/>
      <c r="R460" s="155"/>
      <c r="S460" s="155"/>
      <c r="T460" s="155"/>
      <c r="U460" s="155"/>
      <c r="V460" s="156"/>
      <c r="W460" s="156"/>
    </row>
    <row r="461" spans="2:23" ht="9.75">
      <c r="B461" s="155"/>
      <c r="C461" s="155"/>
      <c r="D461" s="155"/>
      <c r="E461" s="155"/>
      <c r="F461" s="155"/>
      <c r="G461" s="155"/>
      <c r="H461" s="155"/>
      <c r="I461" s="155"/>
      <c r="J461" s="155"/>
      <c r="K461" s="159"/>
      <c r="L461" s="159"/>
      <c r="M461" s="159"/>
      <c r="N461" s="159"/>
      <c r="O461" s="159"/>
      <c r="P461" s="159"/>
      <c r="Q461" s="159"/>
      <c r="R461" s="155"/>
      <c r="S461" s="155"/>
      <c r="T461" s="155"/>
      <c r="U461" s="155"/>
      <c r="V461" s="156"/>
      <c r="W461" s="156"/>
    </row>
    <row r="462" spans="2:23" ht="9.75">
      <c r="B462" s="155"/>
      <c r="C462" s="155"/>
      <c r="D462" s="155"/>
      <c r="E462" s="155"/>
      <c r="F462" s="155"/>
      <c r="G462" s="155"/>
      <c r="H462" s="155"/>
      <c r="I462" s="155"/>
      <c r="J462" s="155"/>
      <c r="K462" s="159"/>
      <c r="L462" s="159"/>
      <c r="M462" s="159"/>
      <c r="N462" s="159"/>
      <c r="O462" s="159"/>
      <c r="P462" s="159"/>
      <c r="Q462" s="159"/>
      <c r="R462" s="155"/>
      <c r="S462" s="155"/>
      <c r="T462" s="155"/>
      <c r="U462" s="155"/>
      <c r="V462" s="156"/>
      <c r="W462" s="156"/>
    </row>
    <row r="463" spans="2:23" ht="9.75">
      <c r="B463" s="155"/>
      <c r="C463" s="155"/>
      <c r="D463" s="155"/>
      <c r="E463" s="155"/>
      <c r="F463" s="155"/>
      <c r="G463" s="155"/>
      <c r="H463" s="155"/>
      <c r="I463" s="155"/>
      <c r="J463" s="155"/>
      <c r="K463" s="159"/>
      <c r="L463" s="159"/>
      <c r="M463" s="159"/>
      <c r="N463" s="159"/>
      <c r="O463" s="159"/>
      <c r="P463" s="159"/>
      <c r="Q463" s="159"/>
      <c r="R463" s="155"/>
      <c r="S463" s="155"/>
      <c r="T463" s="155"/>
      <c r="U463" s="155"/>
      <c r="V463" s="156"/>
      <c r="W463" s="156"/>
    </row>
    <row r="464" spans="2:23" ht="9.75">
      <c r="B464" s="155"/>
      <c r="C464" s="155"/>
      <c r="D464" s="155"/>
      <c r="E464" s="155"/>
      <c r="F464" s="155"/>
      <c r="G464" s="155"/>
      <c r="H464" s="155"/>
      <c r="I464" s="155"/>
      <c r="J464" s="155"/>
      <c r="K464" s="159"/>
      <c r="L464" s="159"/>
      <c r="M464" s="159"/>
      <c r="N464" s="159"/>
      <c r="O464" s="159"/>
      <c r="P464" s="159"/>
      <c r="Q464" s="159"/>
      <c r="R464" s="155"/>
      <c r="S464" s="155"/>
      <c r="T464" s="155"/>
      <c r="U464" s="155"/>
      <c r="V464" s="156"/>
      <c r="W464" s="156"/>
    </row>
    <row r="465" spans="2:23" ht="9.75">
      <c r="B465" s="155"/>
      <c r="C465" s="155"/>
      <c r="D465" s="155"/>
      <c r="E465" s="155"/>
      <c r="F465" s="155"/>
      <c r="G465" s="155"/>
      <c r="H465" s="155"/>
      <c r="I465" s="155"/>
      <c r="J465" s="155"/>
      <c r="K465" s="159"/>
      <c r="L465" s="159"/>
      <c r="M465" s="159"/>
      <c r="N465" s="159"/>
      <c r="O465" s="159"/>
      <c r="P465" s="159"/>
      <c r="Q465" s="159"/>
      <c r="R465" s="155"/>
      <c r="S465" s="155"/>
      <c r="T465" s="155"/>
      <c r="U465" s="155"/>
      <c r="V465" s="156"/>
      <c r="W465" s="156"/>
    </row>
    <row r="466" spans="2:23" ht="9.75">
      <c r="B466" s="155"/>
      <c r="C466" s="155"/>
      <c r="D466" s="155"/>
      <c r="E466" s="155"/>
      <c r="F466" s="155"/>
      <c r="G466" s="155"/>
      <c r="H466" s="155"/>
      <c r="I466" s="155"/>
      <c r="J466" s="155"/>
      <c r="K466" s="159"/>
      <c r="L466" s="159"/>
      <c r="M466" s="159"/>
      <c r="N466" s="159"/>
      <c r="O466" s="159"/>
      <c r="P466" s="159"/>
      <c r="Q466" s="159"/>
      <c r="R466" s="155"/>
      <c r="S466" s="155"/>
      <c r="T466" s="155"/>
      <c r="U466" s="155"/>
      <c r="V466" s="156"/>
      <c r="W466" s="156"/>
    </row>
    <row r="467" spans="2:23" ht="9.75">
      <c r="B467" s="155"/>
      <c r="C467" s="155"/>
      <c r="D467" s="155"/>
      <c r="E467" s="155"/>
      <c r="F467" s="155"/>
      <c r="G467" s="155"/>
      <c r="H467" s="155"/>
      <c r="I467" s="155"/>
      <c r="J467" s="155"/>
      <c r="K467" s="159"/>
      <c r="L467" s="159"/>
      <c r="M467" s="159"/>
      <c r="N467" s="159"/>
      <c r="O467" s="159"/>
      <c r="P467" s="159"/>
      <c r="Q467" s="159"/>
      <c r="R467" s="155"/>
      <c r="S467" s="155"/>
      <c r="T467" s="155"/>
      <c r="U467" s="155"/>
      <c r="V467" s="156"/>
      <c r="W467" s="156"/>
    </row>
    <row r="468" spans="2:23" ht="9.75">
      <c r="B468" s="155"/>
      <c r="C468" s="155"/>
      <c r="D468" s="155"/>
      <c r="E468" s="155"/>
      <c r="F468" s="155"/>
      <c r="G468" s="155"/>
      <c r="H468" s="155"/>
      <c r="I468" s="155"/>
      <c r="J468" s="155"/>
      <c r="K468" s="159"/>
      <c r="L468" s="159"/>
      <c r="M468" s="159"/>
      <c r="N468" s="159"/>
      <c r="O468" s="159"/>
      <c r="P468" s="159"/>
      <c r="Q468" s="159"/>
      <c r="R468" s="155"/>
      <c r="S468" s="155"/>
      <c r="T468" s="155"/>
      <c r="U468" s="155"/>
      <c r="V468" s="156"/>
      <c r="W468" s="156"/>
    </row>
    <row r="469" spans="2:18" ht="9.75">
      <c r="B469" s="155"/>
      <c r="C469" s="155"/>
      <c r="D469" s="155"/>
      <c r="E469" s="155"/>
      <c r="F469" s="155"/>
      <c r="G469" s="155"/>
      <c r="H469" s="155"/>
      <c r="I469" s="155"/>
      <c r="J469" s="155"/>
      <c r="K469" s="159"/>
      <c r="L469" s="159"/>
      <c r="M469" s="159"/>
      <c r="N469" s="159"/>
      <c r="O469" s="159"/>
      <c r="P469" s="159"/>
      <c r="Q469" s="159"/>
      <c r="R469" s="155"/>
    </row>
    <row r="470" spans="2:18" ht="9.75">
      <c r="B470" s="155"/>
      <c r="C470" s="155"/>
      <c r="D470" s="155"/>
      <c r="E470" s="155"/>
      <c r="F470" s="155"/>
      <c r="G470" s="155"/>
      <c r="H470" s="155"/>
      <c r="I470" s="155"/>
      <c r="J470" s="155"/>
      <c r="K470" s="159"/>
      <c r="L470" s="159"/>
      <c r="M470" s="159"/>
      <c r="N470" s="159"/>
      <c r="O470" s="159"/>
      <c r="P470" s="159"/>
      <c r="Q470" s="159"/>
      <c r="R470" s="155"/>
    </row>
    <row r="471" spans="2:18" ht="9.75">
      <c r="B471" s="155"/>
      <c r="C471" s="155"/>
      <c r="D471" s="155"/>
      <c r="E471" s="155"/>
      <c r="F471" s="155"/>
      <c r="G471" s="155"/>
      <c r="H471" s="155"/>
      <c r="I471" s="155"/>
      <c r="J471" s="155"/>
      <c r="K471" s="159"/>
      <c r="L471" s="159"/>
      <c r="M471" s="159"/>
      <c r="N471" s="159"/>
      <c r="O471" s="159"/>
      <c r="P471" s="159"/>
      <c r="Q471" s="159"/>
      <c r="R471" s="155"/>
    </row>
    <row r="472" spans="2:18" ht="9.75">
      <c r="B472" s="155"/>
      <c r="C472" s="155"/>
      <c r="D472" s="155"/>
      <c r="E472" s="155"/>
      <c r="F472" s="155"/>
      <c r="G472" s="155"/>
      <c r="H472" s="155"/>
      <c r="I472" s="155"/>
      <c r="J472" s="155"/>
      <c r="K472" s="159"/>
      <c r="L472" s="159"/>
      <c r="M472" s="159"/>
      <c r="N472" s="159"/>
      <c r="O472" s="159"/>
      <c r="P472" s="159"/>
      <c r="Q472" s="159"/>
      <c r="R472" s="155"/>
    </row>
    <row r="473" spans="2:18" ht="9.75">
      <c r="B473" s="155"/>
      <c r="C473" s="155"/>
      <c r="D473" s="155"/>
      <c r="E473" s="155"/>
      <c r="F473" s="155"/>
      <c r="G473" s="155"/>
      <c r="H473" s="155"/>
      <c r="I473" s="155"/>
      <c r="J473" s="155"/>
      <c r="K473" s="159"/>
      <c r="L473" s="159"/>
      <c r="M473" s="159"/>
      <c r="N473" s="159"/>
      <c r="O473" s="159"/>
      <c r="P473" s="159"/>
      <c r="Q473" s="159"/>
      <c r="R473" s="155"/>
    </row>
    <row r="474" spans="2:18" ht="9.75">
      <c r="B474" s="155"/>
      <c r="C474" s="155"/>
      <c r="D474" s="155"/>
      <c r="E474" s="155"/>
      <c r="F474" s="155"/>
      <c r="G474" s="155"/>
      <c r="H474" s="155"/>
      <c r="I474" s="155"/>
      <c r="J474" s="155"/>
      <c r="K474" s="159"/>
      <c r="L474" s="159"/>
      <c r="M474" s="159"/>
      <c r="N474" s="159"/>
      <c r="O474" s="159"/>
      <c r="P474" s="159"/>
      <c r="Q474" s="159"/>
      <c r="R474" s="155"/>
    </row>
    <row r="475" spans="2:18" ht="9.75">
      <c r="B475" s="155"/>
      <c r="C475" s="155"/>
      <c r="D475" s="155"/>
      <c r="E475" s="155"/>
      <c r="F475" s="155"/>
      <c r="G475" s="155"/>
      <c r="H475" s="155"/>
      <c r="I475" s="155"/>
      <c r="J475" s="155"/>
      <c r="K475" s="159"/>
      <c r="L475" s="159"/>
      <c r="M475" s="159"/>
      <c r="N475" s="159"/>
      <c r="O475" s="159"/>
      <c r="P475" s="159"/>
      <c r="Q475" s="159"/>
      <c r="R475" s="155"/>
    </row>
    <row r="476" spans="2:18" ht="9.75">
      <c r="B476" s="155"/>
      <c r="C476" s="155"/>
      <c r="D476" s="155"/>
      <c r="E476" s="155"/>
      <c r="F476" s="155"/>
      <c r="G476" s="155"/>
      <c r="H476" s="155"/>
      <c r="I476" s="155"/>
      <c r="J476" s="155"/>
      <c r="K476" s="159"/>
      <c r="L476" s="159"/>
      <c r="M476" s="159"/>
      <c r="N476" s="159"/>
      <c r="O476" s="159"/>
      <c r="P476" s="159"/>
      <c r="Q476" s="159"/>
      <c r="R476" s="155"/>
    </row>
    <row r="477" spans="2:18" ht="9.75">
      <c r="B477" s="155"/>
      <c r="C477" s="155"/>
      <c r="D477" s="155"/>
      <c r="E477" s="155"/>
      <c r="F477" s="155"/>
      <c r="G477" s="155"/>
      <c r="H477" s="155"/>
      <c r="I477" s="155"/>
      <c r="J477" s="155"/>
      <c r="K477" s="159"/>
      <c r="L477" s="159"/>
      <c r="M477" s="159"/>
      <c r="N477" s="159"/>
      <c r="O477" s="159"/>
      <c r="P477" s="159"/>
      <c r="Q477" s="159"/>
      <c r="R477" s="155"/>
    </row>
    <row r="478" spans="2:17" ht="9.75">
      <c r="B478" s="155"/>
      <c r="C478" s="155"/>
      <c r="D478" s="155"/>
      <c r="E478" s="155"/>
      <c r="F478" s="155"/>
      <c r="G478" s="155"/>
      <c r="H478" s="155"/>
      <c r="I478" s="155"/>
      <c r="J478" s="155"/>
      <c r="K478" s="159"/>
      <c r="L478" s="159"/>
      <c r="M478" s="159"/>
      <c r="N478" s="159"/>
      <c r="O478" s="159"/>
      <c r="P478" s="159"/>
      <c r="Q478" s="159"/>
    </row>
    <row r="479" spans="2:17" ht="9.75">
      <c r="B479" s="155"/>
      <c r="C479" s="155"/>
      <c r="D479" s="155"/>
      <c r="E479" s="155"/>
      <c r="F479" s="155"/>
      <c r="G479" s="155"/>
      <c r="H479" s="155"/>
      <c r="I479" s="155"/>
      <c r="J479" s="155"/>
      <c r="K479" s="159"/>
      <c r="L479" s="159"/>
      <c r="M479" s="159"/>
      <c r="N479" s="159"/>
      <c r="O479" s="159"/>
      <c r="P479" s="159"/>
      <c r="Q479" s="159"/>
    </row>
    <row r="480" spans="2:17" ht="9.75">
      <c r="B480" s="155"/>
      <c r="C480" s="155"/>
      <c r="D480" s="155"/>
      <c r="E480" s="155"/>
      <c r="F480" s="155"/>
      <c r="G480" s="155"/>
      <c r="H480" s="155"/>
      <c r="I480" s="155"/>
      <c r="J480" s="155"/>
      <c r="K480" s="159"/>
      <c r="L480" s="159"/>
      <c r="M480" s="159"/>
      <c r="N480" s="159"/>
      <c r="O480" s="159"/>
      <c r="P480" s="159"/>
      <c r="Q480" s="159"/>
    </row>
    <row r="481" spans="2:17" ht="9.75">
      <c r="B481" s="155"/>
      <c r="C481" s="155"/>
      <c r="D481" s="155"/>
      <c r="E481" s="155"/>
      <c r="F481" s="155"/>
      <c r="G481" s="155"/>
      <c r="H481" s="155"/>
      <c r="I481" s="155"/>
      <c r="J481" s="155"/>
      <c r="K481" s="159"/>
      <c r="L481" s="159"/>
      <c r="M481" s="159"/>
      <c r="N481" s="159"/>
      <c r="O481" s="159"/>
      <c r="P481" s="159"/>
      <c r="Q481" s="159"/>
    </row>
    <row r="482" spans="2:17" ht="9.75">
      <c r="B482" s="155"/>
      <c r="C482" s="155"/>
      <c r="D482" s="155"/>
      <c r="E482" s="155"/>
      <c r="F482" s="155"/>
      <c r="G482" s="155"/>
      <c r="H482" s="155"/>
      <c r="I482" s="155"/>
      <c r="J482" s="155"/>
      <c r="K482" s="159"/>
      <c r="L482" s="159"/>
      <c r="M482" s="159"/>
      <c r="N482" s="159"/>
      <c r="O482" s="159"/>
      <c r="P482" s="159"/>
      <c r="Q482" s="159"/>
    </row>
    <row r="483" spans="2:17" ht="9.75">
      <c r="B483" s="155"/>
      <c r="C483" s="155"/>
      <c r="D483" s="155"/>
      <c r="E483" s="155"/>
      <c r="F483" s="155"/>
      <c r="G483" s="155"/>
      <c r="H483" s="155"/>
      <c r="I483" s="155"/>
      <c r="J483" s="155"/>
      <c r="K483" s="159"/>
      <c r="L483" s="159"/>
      <c r="M483" s="159"/>
      <c r="N483" s="159"/>
      <c r="O483" s="159"/>
      <c r="P483" s="159"/>
      <c r="Q483" s="159"/>
    </row>
    <row r="484" spans="3:17" ht="9.75">
      <c r="C484" s="155"/>
      <c r="D484" s="155"/>
      <c r="E484" s="155"/>
      <c r="F484" s="155"/>
      <c r="G484" s="155"/>
      <c r="H484" s="155"/>
      <c r="I484" s="155"/>
      <c r="J484" s="155"/>
      <c r="K484" s="159"/>
      <c r="L484" s="159"/>
      <c r="M484" s="159"/>
      <c r="N484" s="159"/>
      <c r="O484" s="159"/>
      <c r="P484" s="159"/>
      <c r="Q484" s="159"/>
    </row>
    <row r="485" spans="3:17" ht="9.75">
      <c r="C485" s="155"/>
      <c r="D485" s="155"/>
      <c r="E485" s="155"/>
      <c r="F485" s="155"/>
      <c r="G485" s="155"/>
      <c r="H485" s="155"/>
      <c r="I485" s="155"/>
      <c r="J485" s="155"/>
      <c r="K485" s="159"/>
      <c r="L485" s="159"/>
      <c r="M485" s="159"/>
      <c r="N485" s="159"/>
      <c r="O485" s="159"/>
      <c r="P485" s="159"/>
      <c r="Q485" s="159"/>
    </row>
    <row r="486" spans="3:17" ht="9.75">
      <c r="C486" s="155"/>
      <c r="D486" s="155"/>
      <c r="E486" s="155"/>
      <c r="F486" s="155"/>
      <c r="G486" s="155"/>
      <c r="H486" s="155"/>
      <c r="I486" s="155"/>
      <c r="J486" s="155"/>
      <c r="K486" s="159"/>
      <c r="L486" s="159"/>
      <c r="M486" s="159"/>
      <c r="N486" s="159"/>
      <c r="O486" s="159"/>
      <c r="P486" s="159"/>
      <c r="Q486" s="159"/>
    </row>
    <row r="487" spans="13:17" ht="9.75">
      <c r="M487" s="159"/>
      <c r="N487" s="159"/>
      <c r="P487" s="159"/>
      <c r="Q487" s="159"/>
    </row>
    <row r="488" spans="13:14" ht="9.75">
      <c r="M488" s="159"/>
      <c r="N488" s="159"/>
    </row>
    <row r="489" ht="9.75">
      <c r="M489" s="159"/>
    </row>
    <row r="490" ht="9.75">
      <c r="M490" s="159"/>
    </row>
    <row r="491" ht="9.75">
      <c r="M491" s="159"/>
    </row>
    <row r="492" ht="9.75">
      <c r="M492" s="159"/>
    </row>
  </sheetData>
  <sheetProtection password="FBFD" sheet="1" objects="1" scenarios="1"/>
  <mergeCells count="12">
    <mergeCell ref="H13:J13"/>
    <mergeCell ref="H16:J16"/>
    <mergeCell ref="C5:L5"/>
    <mergeCell ref="C10:E10"/>
    <mergeCell ref="H10:J10"/>
    <mergeCell ref="E39:L39"/>
    <mergeCell ref="C3:L3"/>
    <mergeCell ref="C4:L4"/>
    <mergeCell ref="C36:L36"/>
    <mergeCell ref="C37:L37"/>
    <mergeCell ref="C13:E13"/>
    <mergeCell ref="C16:E16"/>
  </mergeCells>
  <conditionalFormatting sqref="I25 J31:J33">
    <cfRule type="expression" priority="8" dxfId="7" stopIfTrue="1">
      <formula>$AD$45=1</formula>
    </cfRule>
    <cfRule type="expression" priority="9" dxfId="7" stopIfTrue="1">
      <formula>$Z$46=2</formula>
    </cfRule>
  </conditionalFormatting>
  <conditionalFormatting sqref="C33">
    <cfRule type="expression" priority="10" dxfId="6" stopIfTrue="1">
      <formula>$X$54=2</formula>
    </cfRule>
  </conditionalFormatting>
  <conditionalFormatting sqref="C23">
    <cfRule type="cellIs" priority="6" dxfId="1" operator="lessThanOrEqual" stopIfTrue="1">
      <formula>0</formula>
    </cfRule>
  </conditionalFormatting>
  <conditionalFormatting sqref="C24">
    <cfRule type="cellIs" priority="5" dxfId="1" operator="lessThanOrEqual" stopIfTrue="1">
      <formula>0</formula>
    </cfRule>
  </conditionalFormatting>
  <conditionalFormatting sqref="I27">
    <cfRule type="cellIs" priority="4" dxfId="3" operator="equal" stopIfTrue="1">
      <formula>0</formula>
    </cfRule>
  </conditionalFormatting>
  <conditionalFormatting sqref="J19">
    <cfRule type="expression" priority="3" dxfId="2" stopIfTrue="1">
      <formula>$U$29=1</formula>
    </cfRule>
  </conditionalFormatting>
  <conditionalFormatting sqref="G25">
    <cfRule type="cellIs" priority="1" dxfId="1" operator="lessThanOrEqual" stopIfTrue="1">
      <formula>0</formula>
    </cfRule>
    <cfRule type="expression" priority="2" dxfId="0" stopIfTrue="1">
      <formula>"$Y$42=3"</formula>
    </cfRule>
  </conditionalFormatting>
  <dataValidations count="2">
    <dataValidation allowBlank="1" showInputMessage="1" showErrorMessage="1" prompt="Ingrese la TIIE&#10;" sqref="I27"/>
    <dataValidation allowBlank="1" showInputMessage="1" showErrorMessage="1" prompt="VALOR CONSTRUCCION + INSTALACIONES ESPECIALES" sqref="G25"/>
  </dataValidations>
  <printOptions horizontalCentered="1"/>
  <pageMargins left="0.5118110236220472" right="0.5118110236220472" top="0.5118110236220472" bottom="0.5118110236220472" header="0" footer="0"/>
  <pageSetup horizontalDpi="600" verticalDpi="600" orientation="portrait" scale="60" r:id="rId4"/>
  <drawing r:id="rId3"/>
  <legacyDrawing r:id="rId2"/>
</worksheet>
</file>

<file path=xl/worksheets/sheet2.xml><?xml version="1.0" encoding="utf-8"?>
<worksheet xmlns="http://schemas.openxmlformats.org/spreadsheetml/2006/main" xmlns:r="http://schemas.openxmlformats.org/officeDocument/2006/relationships">
  <sheetPr codeName="Hoja3">
    <pageSetUpPr fitToPage="1"/>
  </sheetPr>
  <dimension ref="A1:BG261"/>
  <sheetViews>
    <sheetView showGridLines="0" showRowColHeaders="0" zoomScale="90" zoomScaleNormal="90" zoomScaleSheetLayoutView="85" zoomScalePageLayoutView="0" workbookViewId="0" topLeftCell="A1">
      <selection activeCell="A16" sqref="A16"/>
    </sheetView>
  </sheetViews>
  <sheetFormatPr defaultColWidth="7.421875" defaultRowHeight="12.75"/>
  <cols>
    <col min="1" max="1" width="8.00390625" style="20" customWidth="1"/>
    <col min="2" max="2" width="12.140625" style="20" customWidth="1"/>
    <col min="3" max="3" width="1.1484375" style="20" customWidth="1"/>
    <col min="4" max="4" width="11.57421875" style="20" customWidth="1"/>
    <col min="5" max="5" width="1.1484375" style="20" customWidth="1"/>
    <col min="6" max="6" width="11.57421875" style="20" customWidth="1"/>
    <col min="7" max="7" width="1.1484375" style="20" customWidth="1"/>
    <col min="8" max="8" width="11.57421875" style="20" customWidth="1"/>
    <col min="9" max="9" width="1.1484375" style="20" customWidth="1"/>
    <col min="10" max="10" width="11.57421875" style="20" customWidth="1"/>
    <col min="11" max="11" width="1.1484375" style="20" customWidth="1"/>
    <col min="12" max="12" width="11.57421875" style="20" customWidth="1"/>
    <col min="13" max="13" width="1.1484375" style="20" customWidth="1"/>
    <col min="14" max="14" width="11.57421875" style="20" customWidth="1"/>
    <col min="15" max="15" width="1.1484375" style="20" customWidth="1"/>
    <col min="16" max="16" width="10.140625" style="20" customWidth="1"/>
    <col min="17" max="17" width="1.1484375" style="20" customWidth="1"/>
    <col min="18" max="18" width="11.57421875" style="20" customWidth="1"/>
    <col min="19" max="19" width="1.1484375" style="20" customWidth="1"/>
    <col min="20" max="20" width="11.57421875" style="20" customWidth="1"/>
    <col min="21" max="21" width="1.1484375" style="20" customWidth="1"/>
    <col min="22" max="22" width="11.57421875" style="20" customWidth="1"/>
    <col min="23" max="23" width="1.1484375" style="20" customWidth="1"/>
    <col min="24" max="24" width="12.57421875" style="20" customWidth="1"/>
    <col min="25" max="25" width="1.57421875" style="20" customWidth="1"/>
    <col min="26" max="26" width="8.421875" style="20" customWidth="1"/>
    <col min="27" max="27" width="1.57421875" style="20" customWidth="1"/>
    <col min="28" max="28" width="14.8515625" style="20" hidden="1" customWidth="1"/>
    <col min="29" max="29" width="11.421875" style="20" hidden="1" customWidth="1"/>
    <col min="30" max="30" width="12.421875" style="20" hidden="1" customWidth="1"/>
    <col min="31" max="33" width="11.421875" style="20" hidden="1" customWidth="1"/>
    <col min="34" max="34" width="12.421875" style="20" hidden="1" customWidth="1"/>
    <col min="35" max="36" width="11.421875" style="20" hidden="1" customWidth="1"/>
    <col min="37" max="37" width="11.421875" style="108" hidden="1" customWidth="1"/>
    <col min="38" max="38" width="11.421875" style="20" hidden="1" customWidth="1"/>
    <col min="39" max="39" width="5.57421875" style="20" hidden="1" customWidth="1"/>
    <col min="40" max="40" width="9.421875" style="20" hidden="1" customWidth="1"/>
    <col min="41" max="41" width="4.57421875" style="20" hidden="1" customWidth="1"/>
    <col min="42" max="42" width="3.8515625" style="20" hidden="1" customWidth="1"/>
    <col min="43" max="43" width="4.421875" style="20" hidden="1" customWidth="1"/>
    <col min="44" max="44" width="2.57421875" style="20" hidden="1" customWidth="1"/>
    <col min="45" max="45" width="5.57421875" style="20" hidden="1" customWidth="1"/>
    <col min="46" max="46" width="8.140625" style="20" hidden="1" customWidth="1"/>
    <col min="47" max="47" width="3.421875" style="20" hidden="1" customWidth="1"/>
    <col min="48" max="48" width="3.57421875" style="20" hidden="1" customWidth="1"/>
    <col min="49" max="59" width="7.421875" style="20" hidden="1" customWidth="1"/>
    <col min="60" max="68" width="7.421875" style="20" customWidth="1"/>
    <col min="69" max="16384" width="7.421875" style="20" customWidth="1"/>
  </cols>
  <sheetData>
    <row r="1" spans="1:59" ht="15">
      <c r="A1" s="543" t="s">
        <v>386</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49"/>
      <c r="BG1" s="20" t="s">
        <v>419</v>
      </c>
    </row>
    <row r="2" spans="1:28" ht="15">
      <c r="A2" s="544" t="s">
        <v>22</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49"/>
    </row>
    <row r="3" spans="1:40" ht="15">
      <c r="A3" s="544" t="s">
        <v>64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49"/>
      <c r="AG3" s="20" t="s">
        <v>123</v>
      </c>
      <c r="AL3" s="53">
        <f>IF('Simulador 7x5'!$T$41=1,'Simulador 7x5'!E63,'Simulador 7x5'!G63)</f>
        <v>0</v>
      </c>
      <c r="AN3" s="33">
        <v>1</v>
      </c>
    </row>
    <row r="4" spans="1:40" ht="15">
      <c r="A4" s="547" t="str">
        <f>IF('Simulador 7x5'!T41=1,"7x5 - 5 AÑOS",IF('Simulador 7x5'!T41=2,"7x5 - 10 AÑOS",IF('Simulador 7x5'!T41=3,"7x5 - 15 AÑOS","7x5 - 20 AÑOS")))</f>
        <v>7x5 - 5 AÑOS</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0"/>
      <c r="AC4" s="33"/>
      <c r="AD4" s="370" t="s">
        <v>430</v>
      </c>
      <c r="AG4" s="20" t="s">
        <v>0</v>
      </c>
      <c r="AL4" s="53">
        <f>_xlfn.IFERROR(IF('Simulador 7x5'!$T$41=1,'Simulador 7x5'!E65,'Simulador 7x5'!G65),0)</f>
        <v>0</v>
      </c>
      <c r="AN4" s="22" t="str">
        <f>IF('Simulador 7x5'!T41=1,"Disminución de plazo","")</f>
        <v>Disminución de plazo</v>
      </c>
    </row>
    <row r="5" spans="1:40" ht="12.75">
      <c r="A5" s="413"/>
      <c r="B5" s="413"/>
      <c r="C5" s="413"/>
      <c r="D5" s="413"/>
      <c r="E5" s="413"/>
      <c r="F5" s="413"/>
      <c r="G5" s="413"/>
      <c r="H5" s="413"/>
      <c r="I5" s="413"/>
      <c r="J5" s="413"/>
      <c r="K5" s="413"/>
      <c r="L5" s="413"/>
      <c r="M5" s="413"/>
      <c r="N5" s="438" t="s">
        <v>29</v>
      </c>
      <c r="O5" s="413"/>
      <c r="P5" s="413"/>
      <c r="Q5" s="413"/>
      <c r="R5" s="413"/>
      <c r="S5" s="413"/>
      <c r="T5" s="413"/>
      <c r="U5" s="413"/>
      <c r="V5" s="413"/>
      <c r="W5" s="413"/>
      <c r="X5" s="413"/>
      <c r="Y5" s="413"/>
      <c r="Z5" s="413"/>
      <c r="AA5" s="413"/>
      <c r="AB5" s="22"/>
      <c r="AC5" s="42"/>
      <c r="AD5" s="42">
        <v>0.15</v>
      </c>
      <c r="AG5" s="20" t="s">
        <v>124</v>
      </c>
      <c r="AL5" s="53">
        <f>_xlfn.IFERROR(IF('Simulador 7x5'!$T$41=1,'Simulador 7x5'!E67,'Simulador 7x5'!G67),0)</f>
        <v>0</v>
      </c>
      <c r="AN5" s="22" t="str">
        <f>IF('Simulador 7x5'!T41=1,"Disminución de pago","")</f>
        <v>Disminución de pago</v>
      </c>
    </row>
    <row r="6" spans="1:30" ht="12.75">
      <c r="A6" s="413"/>
      <c r="B6" s="545" t="s">
        <v>63</v>
      </c>
      <c r="C6" s="545"/>
      <c r="D6" s="545"/>
      <c r="E6" s="545"/>
      <c r="F6" s="545"/>
      <c r="G6" s="413"/>
      <c r="H6" s="413"/>
      <c r="I6" s="413"/>
      <c r="J6" s="413"/>
      <c r="K6" s="413"/>
      <c r="L6" s="413"/>
      <c r="M6" s="413"/>
      <c r="N6" s="414" t="s">
        <v>30</v>
      </c>
      <c r="O6" s="413"/>
      <c r="P6" s="413"/>
      <c r="Q6" s="413"/>
      <c r="R6" s="24"/>
      <c r="S6" s="24"/>
      <c r="T6" s="24"/>
      <c r="U6" s="24"/>
      <c r="V6" s="24"/>
      <c r="W6" s="24"/>
      <c r="X6" s="546">
        <f>'Simulador 7x5'!C7</f>
        <v>44743</v>
      </c>
      <c r="Y6" s="546"/>
      <c r="Z6" s="546"/>
      <c r="AA6" s="413"/>
      <c r="AB6" s="22"/>
      <c r="AD6" s="55">
        <f>'Simulador 7x5'!I27+'Simulador 7x5'!X72</f>
        <v>0.045</v>
      </c>
    </row>
    <row r="7" spans="2:38" ht="15" customHeight="1" thickBot="1">
      <c r="B7" s="412" t="s">
        <v>33</v>
      </c>
      <c r="C7" s="412"/>
      <c r="D7" s="412" t="s">
        <v>56</v>
      </c>
      <c r="E7" s="412"/>
      <c r="F7" s="412" t="s">
        <v>11</v>
      </c>
      <c r="G7" s="413"/>
      <c r="H7" s="413"/>
      <c r="I7" s="413"/>
      <c r="J7" s="413"/>
      <c r="K7" s="413"/>
      <c r="L7" s="413"/>
      <c r="M7" s="413"/>
      <c r="N7" s="414" t="s">
        <v>228</v>
      </c>
      <c r="O7" s="24"/>
      <c r="P7" s="24"/>
      <c r="Q7" s="24"/>
      <c r="R7" s="24"/>
      <c r="S7" s="24"/>
      <c r="T7" s="24"/>
      <c r="U7" s="24"/>
      <c r="V7" s="24"/>
      <c r="W7" s="24"/>
      <c r="X7" s="24"/>
      <c r="Y7" s="24"/>
      <c r="Z7" s="24"/>
      <c r="AA7" s="413"/>
      <c r="AB7" s="22"/>
      <c r="AG7" s="20" t="s">
        <v>96</v>
      </c>
      <c r="AL7" s="53">
        <f>SUM(AL3:AL5)</f>
        <v>0</v>
      </c>
    </row>
    <row r="8" spans="2:28" ht="12.75" customHeight="1" thickBot="1">
      <c r="B8" s="26">
        <v>1</v>
      </c>
      <c r="C8" s="18"/>
      <c r="D8" s="29">
        <f>'Simulador 7x5'!$V$47</f>
        <v>0</v>
      </c>
      <c r="E8" s="18"/>
      <c r="F8" s="28">
        <f>(D8/1000)*'Simulador 7x5'!X47</f>
        <v>0</v>
      </c>
      <c r="G8" s="413"/>
      <c r="H8" s="415" t="s">
        <v>62</v>
      </c>
      <c r="I8" s="413"/>
      <c r="J8" s="413"/>
      <c r="K8" s="413"/>
      <c r="L8" s="413"/>
      <c r="M8" s="413"/>
      <c r="N8" s="416" t="s">
        <v>387</v>
      </c>
      <c r="O8" s="413"/>
      <c r="P8" s="413"/>
      <c r="Q8" s="413"/>
      <c r="R8" s="24"/>
      <c r="S8" s="24"/>
      <c r="T8" s="24"/>
      <c r="U8" s="24"/>
      <c r="V8" s="24"/>
      <c r="W8" s="24"/>
      <c r="X8" s="25"/>
      <c r="Y8" s="413"/>
      <c r="Z8" s="25"/>
      <c r="AA8" s="413"/>
      <c r="AB8" s="22"/>
    </row>
    <row r="9" spans="2:36" ht="12.75" thickBot="1">
      <c r="B9" s="30"/>
      <c r="C9" s="18"/>
      <c r="D9" s="29"/>
      <c r="E9" s="18"/>
      <c r="F9" s="28">
        <f>IF(B9&gt;12,((D9+D8)/1000*'Simulador 7x5'!X47*Z29)+((D9+D8)/1000*'Simulador 7x5'!X47),(D9+D8)/1000*'Simulador 7x5'!X47)</f>
        <v>0</v>
      </c>
      <c r="G9" s="413"/>
      <c r="H9" s="153">
        <f>'Simulador 7x5'!V47</f>
        <v>0</v>
      </c>
      <c r="I9" s="413"/>
      <c r="J9" s="413"/>
      <c r="K9" s="413"/>
      <c r="L9" s="413"/>
      <c r="M9" s="413"/>
      <c r="N9" s="417" t="s">
        <v>66</v>
      </c>
      <c r="O9" s="413"/>
      <c r="P9" s="413"/>
      <c r="Q9" s="413"/>
      <c r="R9" s="24"/>
      <c r="S9" s="24"/>
      <c r="T9" s="24"/>
      <c r="U9" s="24"/>
      <c r="V9" s="24"/>
      <c r="W9" s="24"/>
      <c r="X9" s="24"/>
      <c r="Y9" s="413"/>
      <c r="Z9" s="413"/>
      <c r="AA9" s="413"/>
      <c r="AB9" s="22"/>
      <c r="AJ9" s="392">
        <f>AJ12*12</f>
        <v>0</v>
      </c>
    </row>
    <row r="10" spans="2:36" ht="12.75">
      <c r="B10" s="30"/>
      <c r="C10" s="18"/>
      <c r="D10" s="27">
        <f>IF('Simulador 7x5'!V47-D8-D9&lt;0,0,'Simulador 7x5'!V47-D8-D9)</f>
        <v>0</v>
      </c>
      <c r="E10" s="18"/>
      <c r="F10" s="28">
        <f>IF(B10&gt;12,((D10+D9+D8)/1000*'Simulador 7x5'!X47*Z29)+((D10+D9+D8)/1000*'Simulador 7x5'!X47),(D10+D9+D8)/1000*'Simulador 7x5'!X47)</f>
        <v>0</v>
      </c>
      <c r="G10" s="24"/>
      <c r="H10" s="31">
        <f>IF((D9+D8)&gt;H9,"Se excede de la línea autorizada","")</f>
      </c>
      <c r="I10" s="24"/>
      <c r="J10" s="24"/>
      <c r="K10" s="24"/>
      <c r="L10" s="24"/>
      <c r="M10" s="24"/>
      <c r="N10" s="416">
        <f>IF('Simulador 7x5'!T41=1,"","- Apartir del mes número 61 y en caso de que el cliente no se reúna con el Banco para revisar y negociar la nueva Tasa")</f>
      </c>
      <c r="O10" s="413"/>
      <c r="P10" s="413"/>
      <c r="Q10" s="413"/>
      <c r="R10" s="24"/>
      <c r="S10" s="24"/>
      <c r="T10" s="24"/>
      <c r="U10" s="24"/>
      <c r="V10" s="24"/>
      <c r="W10" s="24"/>
      <c r="X10" s="24"/>
      <c r="Y10" s="413"/>
      <c r="Z10" s="413"/>
      <c r="AA10" s="24"/>
      <c r="AJ10" s="393" t="s">
        <v>406</v>
      </c>
    </row>
    <row r="11" spans="1:36" ht="12.75" customHeight="1">
      <c r="A11" s="4"/>
      <c r="B11" s="24"/>
      <c r="C11" s="24"/>
      <c r="D11" s="24"/>
      <c r="E11" s="24"/>
      <c r="F11" s="24"/>
      <c r="G11" s="24"/>
      <c r="H11" s="24"/>
      <c r="I11" s="24"/>
      <c r="J11" s="24"/>
      <c r="K11" s="24"/>
      <c r="L11" s="24"/>
      <c r="M11" s="24"/>
      <c r="N11" s="401">
        <f>IF('Simulador 7x5'!T41=1,"","   de interés que rejirá el crédito, la Tasa de Interés aplicable será de  T.I.I.E. más 4.5 puntos porcentuales, por lo que los")</f>
      </c>
      <c r="O11" s="24"/>
      <c r="P11" s="24"/>
      <c r="Q11" s="24"/>
      <c r="R11" s="418"/>
      <c r="S11" s="418"/>
      <c r="T11" s="418"/>
      <c r="U11" s="418"/>
      <c r="V11" s="418"/>
      <c r="W11" s="418"/>
      <c r="X11" s="24"/>
      <c r="Y11" s="24"/>
      <c r="Z11" s="24"/>
      <c r="AA11" s="24"/>
      <c r="AC11" s="33"/>
      <c r="AD11" s="33"/>
      <c r="AH11" s="57"/>
      <c r="AI11" s="57"/>
      <c r="AJ11" s="391">
        <f>((1+AJ12)^12)-1</f>
        <v>0</v>
      </c>
    </row>
    <row r="12" spans="1:36" ht="12">
      <c r="A12" s="4"/>
      <c r="B12" s="24"/>
      <c r="C12" s="24"/>
      <c r="D12" s="24"/>
      <c r="E12" s="24"/>
      <c r="F12" s="24"/>
      <c r="G12" s="24"/>
      <c r="H12" s="24"/>
      <c r="I12" s="24"/>
      <c r="J12" s="24"/>
      <c r="K12" s="24"/>
      <c r="L12" s="24"/>
      <c r="M12" s="24"/>
      <c r="N12" s="401">
        <f>IF('Simulador 7x5'!T41=1,"","   valores que se muestran se ajustarán durante la vigencia del crédito en función de la Tasa de Interés variable señalada.")</f>
      </c>
      <c r="O12" s="24"/>
      <c r="P12" s="24"/>
      <c r="Q12" s="24"/>
      <c r="R12" s="51"/>
      <c r="S12" s="18"/>
      <c r="T12" s="52"/>
      <c r="U12" s="18"/>
      <c r="V12" s="18"/>
      <c r="W12" s="18"/>
      <c r="X12" s="24"/>
      <c r="Y12" s="24"/>
      <c r="Z12" s="24"/>
      <c r="AA12" s="24"/>
      <c r="AB12" s="55">
        <f>_xlfn.IFERROR(IRR(AB16:AB136,0),0)</f>
        <v>0</v>
      </c>
      <c r="AC12" s="56">
        <f>AB12*12</f>
        <v>0</v>
      </c>
      <c r="AD12" s="20">
        <f>((1+AB12)^12)-1</f>
        <v>0</v>
      </c>
      <c r="AH12" s="57"/>
      <c r="AI12" s="57"/>
      <c r="AJ12" s="394">
        <f>_xlfn.IFERROR(IRR(AJ13:AJ256,0),0)</f>
        <v>0</v>
      </c>
    </row>
    <row r="13" spans="1:36" ht="12.75">
      <c r="A13" s="4"/>
      <c r="B13" s="24"/>
      <c r="C13" s="24"/>
      <c r="D13" s="24"/>
      <c r="E13" s="24"/>
      <c r="F13" s="24"/>
      <c r="G13" s="143"/>
      <c r="H13" s="401" t="s">
        <v>333</v>
      </c>
      <c r="I13" s="401"/>
      <c r="J13" s="419">
        <f>AP16</f>
        <v>0</v>
      </c>
      <c r="K13" s="401" t="s">
        <v>334</v>
      </c>
      <c r="L13" s="401"/>
      <c r="M13" s="24"/>
      <c r="N13" s="460" t="s">
        <v>122</v>
      </c>
      <c r="O13" s="459"/>
      <c r="P13" s="461">
        <f>AJ11</f>
        <v>0</v>
      </c>
      <c r="Q13" s="420" t="s">
        <v>226</v>
      </c>
      <c r="R13" s="51"/>
      <c r="S13" s="18"/>
      <c r="T13" s="52"/>
      <c r="U13" s="18"/>
      <c r="V13" s="18"/>
      <c r="W13" s="18"/>
      <c r="X13" s="24"/>
      <c r="Y13" s="24"/>
      <c r="Z13" s="24"/>
      <c r="AA13" s="24"/>
      <c r="AB13" s="55"/>
      <c r="AC13" s="56"/>
      <c r="AH13" s="57"/>
      <c r="AI13" s="57"/>
      <c r="AJ13" s="363">
        <f>AL7-H9</f>
        <v>0</v>
      </c>
    </row>
    <row r="14" spans="1:36" ht="12.75">
      <c r="A14" s="4"/>
      <c r="B14" s="24"/>
      <c r="C14" s="24"/>
      <c r="D14" s="24"/>
      <c r="E14" s="24"/>
      <c r="F14" s="24"/>
      <c r="G14" s="143"/>
      <c r="H14" s="401" t="s">
        <v>335</v>
      </c>
      <c r="I14" s="401"/>
      <c r="J14" s="419">
        <f>AQ16</f>
        <v>0</v>
      </c>
      <c r="K14" s="401" t="s">
        <v>336</v>
      </c>
      <c r="L14" s="401"/>
      <c r="M14" s="24"/>
      <c r="N14" s="417" t="s">
        <v>396</v>
      </c>
      <c r="O14" s="24"/>
      <c r="P14" s="377"/>
      <c r="Q14" s="401"/>
      <c r="R14" s="51"/>
      <c r="S14" s="292"/>
      <c r="T14" s="378"/>
      <c r="U14" s="292"/>
      <c r="V14" s="292"/>
      <c r="W14" s="18"/>
      <c r="X14" s="24"/>
      <c r="Y14" s="24"/>
      <c r="Z14" s="24"/>
      <c r="AA14" s="24"/>
      <c r="AB14" s="55"/>
      <c r="AC14" s="56"/>
      <c r="AH14" s="57"/>
      <c r="AI14" s="57"/>
      <c r="AJ14" s="57"/>
    </row>
    <row r="15" spans="1:35" ht="13.5" thickBot="1">
      <c r="A15" s="4"/>
      <c r="D15" s="123"/>
      <c r="L15" s="328"/>
      <c r="N15" s="417"/>
      <c r="O15" s="24"/>
      <c r="P15" s="377"/>
      <c r="Q15" s="401"/>
      <c r="R15" s="32"/>
      <c r="S15" s="292"/>
      <c r="T15" s="379"/>
      <c r="U15" s="292"/>
      <c r="V15" s="292"/>
      <c r="W15" s="18"/>
      <c r="X15" s="24"/>
      <c r="Y15" s="24"/>
      <c r="Z15" s="24"/>
      <c r="AA15" s="24"/>
      <c r="AB15" s="55"/>
      <c r="AC15" s="56"/>
      <c r="AH15" s="57"/>
      <c r="AI15" s="57"/>
    </row>
    <row r="16" spans="1:56" s="23" customFormat="1" ht="25.5">
      <c r="A16" s="439" t="s">
        <v>33</v>
      </c>
      <c r="B16" s="439" t="s">
        <v>10</v>
      </c>
      <c r="C16" s="440"/>
      <c r="D16" s="439" t="s">
        <v>11</v>
      </c>
      <c r="E16" s="440"/>
      <c r="F16" s="439" t="s">
        <v>12</v>
      </c>
      <c r="G16" s="441"/>
      <c r="H16" s="439" t="s">
        <v>13</v>
      </c>
      <c r="I16" s="441"/>
      <c r="J16" s="439" t="s">
        <v>72</v>
      </c>
      <c r="K16" s="441"/>
      <c r="L16" s="439" t="s">
        <v>32</v>
      </c>
      <c r="M16" s="440"/>
      <c r="N16" s="439" t="s">
        <v>31</v>
      </c>
      <c r="O16" s="442"/>
      <c r="P16" s="456" t="s">
        <v>28</v>
      </c>
      <c r="Q16" s="440"/>
      <c r="R16" s="439" t="s">
        <v>14</v>
      </c>
      <c r="S16" s="440"/>
      <c r="T16" s="439" t="s">
        <v>48</v>
      </c>
      <c r="U16" s="442"/>
      <c r="V16" s="439" t="s">
        <v>49</v>
      </c>
      <c r="W16" s="440"/>
      <c r="X16" s="439" t="s">
        <v>16</v>
      </c>
      <c r="Y16" s="440"/>
      <c r="Z16" s="439" t="s">
        <v>17</v>
      </c>
      <c r="AA16" s="19"/>
      <c r="AB16" s="54">
        <f>AL7-H9</f>
        <v>0</v>
      </c>
      <c r="AC16" s="34" t="s">
        <v>68</v>
      </c>
      <c r="AD16" s="361" t="s">
        <v>10</v>
      </c>
      <c r="AE16" s="361" t="s">
        <v>11</v>
      </c>
      <c r="AF16" s="361" t="s">
        <v>12</v>
      </c>
      <c r="AG16" s="361" t="s">
        <v>13</v>
      </c>
      <c r="AH16" s="362" t="s">
        <v>14</v>
      </c>
      <c r="AI16" s="362" t="s">
        <v>15</v>
      </c>
      <c r="AJ16" s="364" t="s">
        <v>16</v>
      </c>
      <c r="AK16" s="362" t="s">
        <v>227</v>
      </c>
      <c r="AM16" s="54" t="s">
        <v>331</v>
      </c>
      <c r="AN16" s="54" t="s">
        <v>332</v>
      </c>
      <c r="AO16" s="142">
        <f>SUM(AO17:AO256)</f>
        <v>1</v>
      </c>
      <c r="AP16" s="142">
        <f>SUM(AP17:AP256)</f>
        <v>0</v>
      </c>
      <c r="AQ16" s="142">
        <f>SUM(AQ17:AQ256)</f>
        <v>0</v>
      </c>
      <c r="AS16" s="396" t="s">
        <v>6</v>
      </c>
      <c r="AT16" s="382" t="s">
        <v>397</v>
      </c>
      <c r="AU16" s="382" t="s">
        <v>398</v>
      </c>
      <c r="AW16" s="383" t="s">
        <v>399</v>
      </c>
      <c r="AX16" s="383" t="s">
        <v>400</v>
      </c>
      <c r="AY16" s="383" t="s">
        <v>401</v>
      </c>
      <c r="AZ16" s="383" t="s">
        <v>402</v>
      </c>
      <c r="BA16" s="383" t="s">
        <v>403</v>
      </c>
      <c r="BB16" s="383"/>
      <c r="BC16" s="383"/>
      <c r="BD16" s="20"/>
    </row>
    <row r="17" spans="1:53" ht="12.75">
      <c r="A17" s="443">
        <v>1</v>
      </c>
      <c r="B17" s="498">
        <f>_xlfn.IFERROR(VLOOKUP(A17,$B$8:$F$10,3,FALSE),0)</f>
        <v>0</v>
      </c>
      <c r="C17" s="499"/>
      <c r="D17" s="500">
        <f>F8</f>
        <v>0</v>
      </c>
      <c r="E17" s="500"/>
      <c r="F17" s="500">
        <f>IF(B17=0,0,P17/360*AU17*B17)</f>
        <v>0</v>
      </c>
      <c r="G17" s="500"/>
      <c r="H17" s="500">
        <f>D17-F17</f>
        <v>0</v>
      </c>
      <c r="I17" s="501"/>
      <c r="J17" s="501"/>
      <c r="K17" s="501"/>
      <c r="L17" s="502"/>
      <c r="M17" s="501"/>
      <c r="N17" s="500">
        <v>0</v>
      </c>
      <c r="O17" s="6"/>
      <c r="P17" s="457">
        <f>IF(B17=0,0,AC17)</f>
        <v>0</v>
      </c>
      <c r="Q17" s="1"/>
      <c r="R17" s="500">
        <f>B17-H17-J17-L17+N17</f>
        <v>0</v>
      </c>
      <c r="S17" s="500"/>
      <c r="T17" s="500">
        <f>IF(B17&lt;=0,0,B17*IF('Simulador 7x5'!$Y$81=1,0,'Simulador 7x5'!$U$75))</f>
        <v>0</v>
      </c>
      <c r="U17" s="500"/>
      <c r="V17" s="513">
        <f>IF(B17&lt;=0,0,IF('Simulador 7x5'!$T$41=1,'Simulador 7x5'!$E$55,'Simulador 7x5'!$G$55))</f>
        <v>0</v>
      </c>
      <c r="W17" s="500"/>
      <c r="X17" s="500">
        <f>IF(B17&lt;=0,0,(D17+L17+T17+V17))</f>
        <v>0</v>
      </c>
      <c r="Y17" s="7"/>
      <c r="Z17" s="8"/>
      <c r="AA17" s="3"/>
      <c r="AB17" s="2">
        <f>X17</f>
        <v>0</v>
      </c>
      <c r="AC17" s="21">
        <f>IF(AD17&lt;=0.01,0,'Simulador 7x5'!$AA$63)</f>
        <v>0</v>
      </c>
      <c r="AD17" s="380">
        <f>+B17</f>
        <v>0</v>
      </c>
      <c r="AE17" s="380">
        <f>(AD17/1000)*'Simulador 7x5'!$X$47</f>
        <v>0</v>
      </c>
      <c r="AF17" s="381">
        <f>_xlfn.IFERROR(AC17/360*AU17*AD17,0)</f>
        <v>0</v>
      </c>
      <c r="AG17" s="380">
        <f>+AE17-AF17</f>
        <v>0</v>
      </c>
      <c r="AH17" s="380">
        <f>+AD17-AG17</f>
        <v>0</v>
      </c>
      <c r="AI17" s="380">
        <f>IF(AD17&lt;=0,0,AD17*IF('Simulador 7x5'!$Y$81=1,0,'Simulador 7x5'!$U$75))+IF(AD17&lt;=0,0,IF('Simulador 7x5'!$T$41=1,'Simulador 7x5'!$E$55,'Simulador 7x5'!$G$55))</f>
        <v>0</v>
      </c>
      <c r="AJ17" s="380">
        <f aca="true" t="shared" si="0" ref="AJ17:AJ80">IF(AD17&lt;=0,0,AE17+AI17)</f>
        <v>0</v>
      </c>
      <c r="AK17" s="109">
        <f>_xlfn.IFERROR(AE17/AD17,0)</f>
        <v>0</v>
      </c>
      <c r="AM17" s="2">
        <v>0</v>
      </c>
      <c r="AN17" s="2">
        <f>IF(B17=0,0,1)</f>
        <v>0</v>
      </c>
      <c r="AO17" s="329">
        <f>+IF(R17&lt;=0.01,IF(R16&gt;1,+A17,0),0)</f>
        <v>1</v>
      </c>
      <c r="AP17" s="329">
        <f>+IF(AO17&gt;0,+AM17,0)</f>
        <v>0</v>
      </c>
      <c r="AQ17" s="20">
        <f>+IF(AO17&gt;0,+AN17,0)</f>
        <v>0</v>
      </c>
      <c r="AR17" s="36"/>
      <c r="AS17" s="397">
        <f>+'Simulador 7x5'!X63</f>
        <v>60</v>
      </c>
      <c r="AT17" s="384">
        <f>IF(AD17=0,"",DATE(AW17,AX17+BA17,AZ17))</f>
      </c>
      <c r="AU17" s="385">
        <f>_xlfn.IFERROR(DAY(DATE(YEAR(AT17),MONTH(AT17)+1,0)),0)</f>
        <v>0</v>
      </c>
      <c r="AV17" s="36">
        <v>1</v>
      </c>
      <c r="AW17" s="386">
        <f>_xlfn.IFERROR(YEAR('Simulador 7x5'!C7),YEAR('Simulador 7x5'!C7))</f>
        <v>2022</v>
      </c>
      <c r="AX17" s="386">
        <f>_xlfn.IFERROR(MONTH('Simulador 7x5'!C7),MONTH('Simulador 7x5'!C7))</f>
        <v>7</v>
      </c>
      <c r="AY17" s="23">
        <f>_xlfn.IFERROR(DAY('Simulador 7x5'!C7),DAY('Simulador 7x5'!C7))</f>
        <v>1</v>
      </c>
      <c r="AZ17" s="386">
        <f ca="1">IF(AND(DAY(TODAY())&gt;=3,DAY(TODAY())&lt;=16),3,17)</f>
        <v>17</v>
      </c>
      <c r="BA17" s="23">
        <f>IF(AY17&gt;AZ17,1,0)</f>
        <v>0</v>
      </c>
    </row>
    <row r="18" spans="1:56" ht="12.75">
      <c r="A18" s="443">
        <v>2</v>
      </c>
      <c r="B18" s="498">
        <f aca="true" t="shared" si="1" ref="B18:B76">IF(R17&lt;0,0,IF(A18=$B$9,R17+$D$9,IF(A18=$B$10,R17+$D$10,R17)))</f>
        <v>0</v>
      </c>
      <c r="C18" s="499"/>
      <c r="D18" s="498">
        <f>IF(B18+F18-D17&lt;=0,B18+F18,IF(A18=$B$9,$F$9,IF(A18=$B$10,$F$10,IF(AND('Simulador 7x5'!$AD$45=2,L17=0),D17*(1+Z18),IF($AN$3=2,B18*AK18,D17*(1+Z18))))))</f>
        <v>0</v>
      </c>
      <c r="E18" s="500"/>
      <c r="F18" s="500">
        <f aca="true" t="shared" si="2" ref="F18:F81">IF(B18=0,0,P18/360*AU18*B18)</f>
        <v>0</v>
      </c>
      <c r="G18" s="500"/>
      <c r="H18" s="500">
        <f>D18-F18</f>
        <v>0</v>
      </c>
      <c r="I18" s="501"/>
      <c r="J18" s="503">
        <f>IF(B18=0,0,IF('Simulador 7x5'!$AD$45=1,0,IF('Simulador 7x5'!$AD$48*'Simulador 7x5'!$AC$82*2&gt;'Simulador 7x5'!$AD$84,'Simulador 7x5'!$AD$84,IF(B18=0,0,'Simulador 7x5'!$AD$48*'Simulador 7x5'!$AC$82*2))))</f>
        <v>0</v>
      </c>
      <c r="K18" s="501"/>
      <c r="L18" s="502"/>
      <c r="M18" s="501"/>
      <c r="N18" s="500">
        <v>0</v>
      </c>
      <c r="O18" s="6"/>
      <c r="P18" s="457">
        <f aca="true" t="shared" si="3" ref="P18:P81">IF(B18=0,0,AC18)</f>
        <v>0</v>
      </c>
      <c r="Q18" s="1"/>
      <c r="R18" s="500">
        <f aca="true" t="shared" si="4" ref="R18:R81">B18-H18-J18-L18+N18</f>
        <v>0</v>
      </c>
      <c r="S18" s="500"/>
      <c r="T18" s="500">
        <f>IF(B18&lt;=0,0,B18*IF('Simulador 7x5'!$Y$81=1,0,'Simulador 7x5'!$U$75))</f>
        <v>0</v>
      </c>
      <c r="U18" s="500"/>
      <c r="V18" s="513">
        <f>IF(B18&lt;=0,0,IF('Simulador 7x5'!$T$41=1,'Simulador 7x5'!$E$55,'Simulador 7x5'!$G$55))</f>
        <v>0</v>
      </c>
      <c r="W18" s="500"/>
      <c r="X18" s="500">
        <f aca="true" t="shared" si="5" ref="X18:X81">IF(B18&lt;=0,0,(D18+L18+T18+V18))</f>
        <v>0</v>
      </c>
      <c r="Y18" s="7"/>
      <c r="Z18" s="9"/>
      <c r="AA18" s="10"/>
      <c r="AB18" s="2">
        <f aca="true" t="shared" si="6" ref="AB18:AB81">X18</f>
        <v>0</v>
      </c>
      <c r="AC18" s="21">
        <f aca="true" t="shared" si="7" ref="AC18:AC49">IF(AD18&lt;=0.01,0,AC17)</f>
        <v>0</v>
      </c>
      <c r="AD18" s="380">
        <f>IF(AH17&lt;0.01,0,IF(A18=$B$9,AH17+$D$9,IF(A18=$B$10,AH17+$D$10,AH17)))</f>
        <v>0</v>
      </c>
      <c r="AE18" s="380">
        <f>IF(AD18+AF18-AE17&lt;=0,AD18+AF18,IF(A18=$B$9,$F$9,IF(A18=$B$10,$F$10,IF($AN$3=2,AD18*AK18,AE17*(1+Z18)))))</f>
        <v>0</v>
      </c>
      <c r="AF18" s="381">
        <f aca="true" t="shared" si="8" ref="AF18:AF81">_xlfn.IFERROR(AC18/360*AU18*AD18,0)</f>
        <v>0</v>
      </c>
      <c r="AG18" s="380">
        <f>+AE18-AF18</f>
        <v>0</v>
      </c>
      <c r="AH18" s="380">
        <f>+AD18-AG18</f>
        <v>0</v>
      </c>
      <c r="AI18" s="380">
        <f>IF(AD18&lt;=0,0,AD18*IF('Simulador 7x5'!$Y$81=1,0,'Simulador 7x5'!$U$75))+IF(AD18&lt;=0,0,IF('Simulador 7x5'!$T$41=1,'Simulador 7x5'!$E$55,'Simulador 7x5'!$G$55))</f>
        <v>0</v>
      </c>
      <c r="AJ18" s="380">
        <f t="shared" si="0"/>
        <v>0</v>
      </c>
      <c r="AK18" s="109">
        <f aca="true" t="shared" si="9" ref="AK18:AK81">_xlfn.IFERROR(AE18/AD18,0)</f>
        <v>0</v>
      </c>
      <c r="AM18" s="2">
        <v>0</v>
      </c>
      <c r="AN18" s="139">
        <v>2</v>
      </c>
      <c r="AO18" s="329">
        <f aca="true" t="shared" si="10" ref="AO18:AO81">+IF(R18&lt;=0.01,IF(R17&gt;1,+A18,0),0)</f>
        <v>0</v>
      </c>
      <c r="AP18" s="329">
        <f aca="true" t="shared" si="11" ref="AP18:AP81">+IF(AO18&gt;0,+AM18,0)</f>
        <v>0</v>
      </c>
      <c r="AQ18" s="20">
        <f aca="true" t="shared" si="12" ref="AQ18:AQ81">+IF(AO18&gt;0,+AN18,0)</f>
        <v>0</v>
      </c>
      <c r="AR18" s="36"/>
      <c r="AS18">
        <f>_xlfn.IFERROR(IF(AD18&lt;=0.01,0,AS17-1),0)</f>
        <v>0</v>
      </c>
      <c r="AT18" s="384">
        <f>IF(AK17=0,"",DATE(YEAR(AT17),MONTH(AT17)+1,1))</f>
      </c>
      <c r="AU18" s="385">
        <f aca="true" t="shared" si="13" ref="AU18:AU81">_xlfn.IFERROR(DAY(DATE(YEAR(AT18),MONTH(AT18)+1,0)),0)</f>
        <v>0</v>
      </c>
      <c r="AV18" s="36">
        <v>2</v>
      </c>
      <c r="AX18" s="36"/>
      <c r="AZ18" s="36"/>
      <c r="BD18" s="23"/>
    </row>
    <row r="19" spans="1:52" ht="12.75">
      <c r="A19" s="443">
        <v>3</v>
      </c>
      <c r="B19" s="498">
        <f t="shared" si="1"/>
        <v>0</v>
      </c>
      <c r="C19" s="499"/>
      <c r="D19" s="498">
        <f>IF(B19+F19-D18&lt;=0,B19+F19,IF(A19=$B$9,$F$9,IF(A19=$B$10,$F$10,IF(AND('Simulador 7x5'!$AD$45=2,L18=0),D18*(1+Z19),IF($AN$3=2,B19*AK19,D18*(1+Z19))))))</f>
        <v>0</v>
      </c>
      <c r="E19" s="500"/>
      <c r="F19" s="500">
        <f t="shared" si="2"/>
        <v>0</v>
      </c>
      <c r="G19" s="500"/>
      <c r="H19" s="500">
        <f aca="true" t="shared" si="14" ref="H19:H82">D19-F19</f>
        <v>0</v>
      </c>
      <c r="I19" s="501"/>
      <c r="J19" s="501"/>
      <c r="K19" s="501"/>
      <c r="L19" s="502"/>
      <c r="M19" s="501"/>
      <c r="N19" s="500">
        <v>0</v>
      </c>
      <c r="O19" s="6"/>
      <c r="P19" s="457">
        <f t="shared" si="3"/>
        <v>0</v>
      </c>
      <c r="Q19" s="1"/>
      <c r="R19" s="500">
        <f t="shared" si="4"/>
        <v>0</v>
      </c>
      <c r="S19" s="500"/>
      <c r="T19" s="500">
        <f>IF(B19&lt;=0,0,B19*IF('Simulador 7x5'!$Y$81=1,0,'Simulador 7x5'!$U$75))</f>
        <v>0</v>
      </c>
      <c r="U19" s="500"/>
      <c r="V19" s="513">
        <f>IF(B19&lt;=0,0,IF('Simulador 7x5'!$T$41=1,'Simulador 7x5'!$E$55,'Simulador 7x5'!$G$55))</f>
        <v>0</v>
      </c>
      <c r="W19" s="500"/>
      <c r="X19" s="500">
        <f t="shared" si="5"/>
        <v>0</v>
      </c>
      <c r="Y19" s="7"/>
      <c r="Z19" s="9"/>
      <c r="AA19" s="10"/>
      <c r="AB19" s="2">
        <f t="shared" si="6"/>
        <v>0</v>
      </c>
      <c r="AC19" s="21">
        <f t="shared" si="7"/>
        <v>0</v>
      </c>
      <c r="AD19" s="380">
        <f aca="true" t="shared" si="15" ref="AD19:AD82">IF(AH18&lt;0.01,0,IF(A19=$B$9,AH18+$D$9,IF(A19=$B$10,AH18+$D$10,AH18)))</f>
        <v>0</v>
      </c>
      <c r="AE19" s="380">
        <f aca="true" t="shared" si="16" ref="AE19:AE76">IF(AD19+AF19-AE18&lt;=0,AD19+AF19,IF(A19=$B$9,$F$9,IF(A19=$B$10,$F$10,IF($AN$3=2,AD19*AK19,AE18*(1+Z19)))))</f>
        <v>0</v>
      </c>
      <c r="AF19" s="381">
        <f t="shared" si="8"/>
        <v>0</v>
      </c>
      <c r="AG19" s="380">
        <f aca="true" t="shared" si="17" ref="AG19:AG82">+AE19-AF19</f>
        <v>0</v>
      </c>
      <c r="AH19" s="380">
        <f aca="true" t="shared" si="18" ref="AH19:AH82">+AD19-AG19</f>
        <v>0</v>
      </c>
      <c r="AI19" s="380">
        <f>IF(AD19&lt;=0,0,AD19*IF('Simulador 7x5'!$Y$81=1,0,'Simulador 7x5'!$U$75))+IF(AD19&lt;=0,0,IF('Simulador 7x5'!$T$41=1,'Simulador 7x5'!$E$55,'Simulador 7x5'!$G$55))</f>
        <v>0</v>
      </c>
      <c r="AJ19" s="380">
        <f t="shared" si="0"/>
        <v>0</v>
      </c>
      <c r="AK19" s="109">
        <f t="shared" si="9"/>
        <v>0</v>
      </c>
      <c r="AM19" s="2">
        <v>0</v>
      </c>
      <c r="AN19" s="139">
        <v>3</v>
      </c>
      <c r="AO19" s="329">
        <f t="shared" si="10"/>
        <v>0</v>
      </c>
      <c r="AP19" s="329">
        <f t="shared" si="11"/>
        <v>0</v>
      </c>
      <c r="AQ19" s="20">
        <f t="shared" si="12"/>
        <v>0</v>
      </c>
      <c r="AR19" s="36"/>
      <c r="AS19">
        <f aca="true" t="shared" si="19" ref="AS19:AS82">_xlfn.IFERROR(IF(AD19&lt;=0.01,0,AS18-1),0)</f>
        <v>0</v>
      </c>
      <c r="AT19" s="384">
        <f aca="true" t="shared" si="20" ref="AT19:AT82">IF(AK18=0,"",DATE(YEAR(AT18),MONTH(AT18)+1,1))</f>
      </c>
      <c r="AU19" s="385">
        <f t="shared" si="13"/>
        <v>0</v>
      </c>
      <c r="AV19" s="36">
        <v>3</v>
      </c>
      <c r="AW19" s="387" t="s">
        <v>404</v>
      </c>
      <c r="AX19" s="388">
        <v>30.4375</v>
      </c>
      <c r="AY19" s="389">
        <f>SUM(AU75:AU136)</f>
        <v>0</v>
      </c>
      <c r="AZ19" s="390">
        <f>IF(AS75=0,0,AY19/AS75)</f>
        <v>0</v>
      </c>
    </row>
    <row r="20" spans="1:52" ht="12.75">
      <c r="A20" s="443">
        <v>4</v>
      </c>
      <c r="B20" s="498">
        <f t="shared" si="1"/>
        <v>0</v>
      </c>
      <c r="C20" s="499"/>
      <c r="D20" s="498">
        <f>IF(B20+F20-D19&lt;=0,B20+F20,IF(A20=$B$9,$F$9,IF(A20=$B$10,$F$10,IF(AND('Simulador 7x5'!$AD$45=2,L19=0),D19*(1+Z20),IF($AN$3=2,B20*AK20,D19*(1+Z20))))))</f>
        <v>0</v>
      </c>
      <c r="E20" s="500"/>
      <c r="F20" s="500">
        <f t="shared" si="2"/>
        <v>0</v>
      </c>
      <c r="G20" s="500"/>
      <c r="H20" s="500">
        <f t="shared" si="14"/>
        <v>0</v>
      </c>
      <c r="I20" s="501"/>
      <c r="J20" s="503">
        <f>IF(B20-H20=0,0,J18)</f>
        <v>0</v>
      </c>
      <c r="K20" s="501"/>
      <c r="L20" s="502"/>
      <c r="M20" s="501"/>
      <c r="N20" s="500">
        <v>0</v>
      </c>
      <c r="O20" s="6"/>
      <c r="P20" s="457">
        <f t="shared" si="3"/>
        <v>0</v>
      </c>
      <c r="Q20" s="1"/>
      <c r="R20" s="500">
        <f t="shared" si="4"/>
        <v>0</v>
      </c>
      <c r="S20" s="500"/>
      <c r="T20" s="500">
        <f>IF(B20&lt;=0,0,B20*IF('Simulador 7x5'!$Y$81=1,0,'Simulador 7x5'!$U$75))</f>
        <v>0</v>
      </c>
      <c r="U20" s="500"/>
      <c r="V20" s="513">
        <f>IF(B20&lt;=0,0,IF('Simulador 7x5'!$T$41=1,'Simulador 7x5'!$E$55,'Simulador 7x5'!$G$55))</f>
        <v>0</v>
      </c>
      <c r="W20" s="500"/>
      <c r="X20" s="500">
        <f t="shared" si="5"/>
        <v>0</v>
      </c>
      <c r="Y20" s="7"/>
      <c r="Z20" s="9"/>
      <c r="AA20" s="3"/>
      <c r="AB20" s="2">
        <f t="shared" si="6"/>
        <v>0</v>
      </c>
      <c r="AC20" s="21">
        <f t="shared" si="7"/>
        <v>0</v>
      </c>
      <c r="AD20" s="380">
        <f t="shared" si="15"/>
        <v>0</v>
      </c>
      <c r="AE20" s="380">
        <f t="shared" si="16"/>
        <v>0</v>
      </c>
      <c r="AF20" s="381">
        <f t="shared" si="8"/>
        <v>0</v>
      </c>
      <c r="AG20" s="380">
        <f t="shared" si="17"/>
        <v>0</v>
      </c>
      <c r="AH20" s="380">
        <f t="shared" si="18"/>
        <v>0</v>
      </c>
      <c r="AI20" s="380">
        <f>IF(AD20&lt;=0,0,AD20*IF('Simulador 7x5'!$Y$81=1,0,'Simulador 7x5'!$U$75))+IF(AD20&lt;=0,0,IF('Simulador 7x5'!$T$41=1,'Simulador 7x5'!$E$55,'Simulador 7x5'!$G$55))</f>
        <v>0</v>
      </c>
      <c r="AJ20" s="380">
        <f t="shared" si="0"/>
        <v>0</v>
      </c>
      <c r="AK20" s="109">
        <f t="shared" si="9"/>
        <v>0</v>
      </c>
      <c r="AM20" s="2">
        <v>0</v>
      </c>
      <c r="AN20" s="2">
        <v>4</v>
      </c>
      <c r="AO20" s="329">
        <f t="shared" si="10"/>
        <v>0</v>
      </c>
      <c r="AP20" s="329">
        <f t="shared" si="11"/>
        <v>0</v>
      </c>
      <c r="AQ20" s="20">
        <f t="shared" si="12"/>
        <v>0</v>
      </c>
      <c r="AR20" s="36"/>
      <c r="AS20">
        <f t="shared" si="19"/>
        <v>0</v>
      </c>
      <c r="AT20" s="384">
        <f t="shared" si="20"/>
      </c>
      <c r="AU20" s="385">
        <f t="shared" si="13"/>
        <v>0</v>
      </c>
      <c r="AV20" s="36">
        <v>4</v>
      </c>
      <c r="AX20" s="123" t="s">
        <v>405</v>
      </c>
      <c r="AZ20" s="36"/>
    </row>
    <row r="21" spans="1:48" ht="12.75">
      <c r="A21" s="443">
        <v>5</v>
      </c>
      <c r="B21" s="498">
        <f t="shared" si="1"/>
        <v>0</v>
      </c>
      <c r="C21" s="499"/>
      <c r="D21" s="498">
        <f>IF(B21+F21-D20&lt;=0,B21+F21,IF(A21=$B$9,$F$9,IF(A21=$B$10,$F$10,IF(AND('Simulador 7x5'!$AD$45=2,L20=0),D20*(1+Z21),IF($AN$3=2,B21*AK21,D20*(1+Z21))))))</f>
        <v>0</v>
      </c>
      <c r="E21" s="500"/>
      <c r="F21" s="500">
        <f t="shared" si="2"/>
        <v>0</v>
      </c>
      <c r="G21" s="500"/>
      <c r="H21" s="500">
        <f t="shared" si="14"/>
        <v>0</v>
      </c>
      <c r="I21" s="501"/>
      <c r="J21" s="504"/>
      <c r="K21" s="501"/>
      <c r="L21" s="502"/>
      <c r="M21" s="501"/>
      <c r="N21" s="500">
        <v>0</v>
      </c>
      <c r="O21" s="6"/>
      <c r="P21" s="457">
        <f t="shared" si="3"/>
        <v>0</v>
      </c>
      <c r="Q21" s="1"/>
      <c r="R21" s="500">
        <f t="shared" si="4"/>
        <v>0</v>
      </c>
      <c r="S21" s="500"/>
      <c r="T21" s="500">
        <f>IF(B21&lt;=0,0,B21*IF('Simulador 7x5'!$Y$81=1,0,'Simulador 7x5'!$U$75))</f>
        <v>0</v>
      </c>
      <c r="U21" s="500"/>
      <c r="V21" s="513">
        <f>IF(B21&lt;=0,0,IF('Simulador 7x5'!$T$41=1,'Simulador 7x5'!$E$55,'Simulador 7x5'!$G$55))</f>
        <v>0</v>
      </c>
      <c r="W21" s="500"/>
      <c r="X21" s="500">
        <f t="shared" si="5"/>
        <v>0</v>
      </c>
      <c r="Y21" s="7"/>
      <c r="Z21" s="9"/>
      <c r="AA21" s="3"/>
      <c r="AB21" s="2">
        <f t="shared" si="6"/>
        <v>0</v>
      </c>
      <c r="AC21" s="21">
        <f t="shared" si="7"/>
        <v>0</v>
      </c>
      <c r="AD21" s="380">
        <f t="shared" si="15"/>
        <v>0</v>
      </c>
      <c r="AE21" s="380">
        <f t="shared" si="16"/>
        <v>0</v>
      </c>
      <c r="AF21" s="381">
        <f t="shared" si="8"/>
        <v>0</v>
      </c>
      <c r="AG21" s="380">
        <f t="shared" si="17"/>
        <v>0</v>
      </c>
      <c r="AH21" s="380">
        <f t="shared" si="18"/>
        <v>0</v>
      </c>
      <c r="AI21" s="380">
        <f>IF(AD21&lt;=0,0,AD21*IF('Simulador 7x5'!$Y$81=1,0,'Simulador 7x5'!$U$75))+IF(AD21&lt;=0,0,IF('Simulador 7x5'!$T$41=1,'Simulador 7x5'!$E$55,'Simulador 7x5'!$G$55))</f>
        <v>0</v>
      </c>
      <c r="AJ21" s="380">
        <f t="shared" si="0"/>
        <v>0</v>
      </c>
      <c r="AK21" s="109">
        <f t="shared" si="9"/>
        <v>0</v>
      </c>
      <c r="AM21" s="2">
        <v>0</v>
      </c>
      <c r="AN21" s="2">
        <v>5</v>
      </c>
      <c r="AO21" s="329">
        <f t="shared" si="10"/>
        <v>0</v>
      </c>
      <c r="AP21" s="329">
        <f t="shared" si="11"/>
        <v>0</v>
      </c>
      <c r="AQ21" s="20">
        <f t="shared" si="12"/>
        <v>0</v>
      </c>
      <c r="AR21" s="36"/>
      <c r="AS21">
        <f t="shared" si="19"/>
        <v>0</v>
      </c>
      <c r="AT21" s="384">
        <f t="shared" si="20"/>
      </c>
      <c r="AU21" s="385">
        <f t="shared" si="13"/>
        <v>0</v>
      </c>
      <c r="AV21" s="36">
        <v>5</v>
      </c>
    </row>
    <row r="22" spans="1:48" ht="12.75">
      <c r="A22" s="443">
        <v>6</v>
      </c>
      <c r="B22" s="498">
        <f t="shared" si="1"/>
        <v>0</v>
      </c>
      <c r="C22" s="499"/>
      <c r="D22" s="498">
        <f>IF(B22+F22-D21&lt;=0,B22+F22,IF(A22=$B$9,$F$9,IF(A22=$B$10,$F$10,IF(AND('Simulador 7x5'!$AD$45=2,L21=0),D21*(1+Z22),IF($AN$3=2,B22*AK22,D21*(1+Z22))))))</f>
        <v>0</v>
      </c>
      <c r="E22" s="500"/>
      <c r="F22" s="500">
        <f t="shared" si="2"/>
        <v>0</v>
      </c>
      <c r="G22" s="500"/>
      <c r="H22" s="500">
        <f t="shared" si="14"/>
        <v>0</v>
      </c>
      <c r="I22" s="501"/>
      <c r="J22" s="503">
        <f>IF(B22-H22=0,0,J20)</f>
        <v>0</v>
      </c>
      <c r="K22" s="501"/>
      <c r="L22" s="502"/>
      <c r="M22" s="501"/>
      <c r="N22" s="500">
        <v>0</v>
      </c>
      <c r="O22" s="6"/>
      <c r="P22" s="457">
        <f t="shared" si="3"/>
        <v>0</v>
      </c>
      <c r="Q22" s="1"/>
      <c r="R22" s="500">
        <f t="shared" si="4"/>
        <v>0</v>
      </c>
      <c r="S22" s="500"/>
      <c r="T22" s="500">
        <f>IF(B22&lt;=0,0,B22*IF('Simulador 7x5'!$Y$81=1,0,'Simulador 7x5'!$U$75))</f>
        <v>0</v>
      </c>
      <c r="U22" s="500"/>
      <c r="V22" s="513">
        <f>IF(B22&lt;=0,0,IF('Simulador 7x5'!$T$41=1,'Simulador 7x5'!$E$55,'Simulador 7x5'!$G$55))</f>
        <v>0</v>
      </c>
      <c r="W22" s="500"/>
      <c r="X22" s="500">
        <f t="shared" si="5"/>
        <v>0</v>
      </c>
      <c r="Y22" s="7"/>
      <c r="Z22" s="9"/>
      <c r="AA22" s="3"/>
      <c r="AB22" s="2">
        <f t="shared" si="6"/>
        <v>0</v>
      </c>
      <c r="AC22" s="21">
        <f t="shared" si="7"/>
        <v>0</v>
      </c>
      <c r="AD22" s="380">
        <f t="shared" si="15"/>
        <v>0</v>
      </c>
      <c r="AE22" s="380">
        <f t="shared" si="16"/>
        <v>0</v>
      </c>
      <c r="AF22" s="381">
        <f t="shared" si="8"/>
        <v>0</v>
      </c>
      <c r="AG22" s="380">
        <f t="shared" si="17"/>
        <v>0</v>
      </c>
      <c r="AH22" s="380">
        <f t="shared" si="18"/>
        <v>0</v>
      </c>
      <c r="AI22" s="380">
        <f>IF(AD22&lt;=0,0,AD22*IF('Simulador 7x5'!$Y$81=1,0,'Simulador 7x5'!$U$75))+IF(AD22&lt;=0,0,IF('Simulador 7x5'!$T$41=1,'Simulador 7x5'!$E$55,'Simulador 7x5'!$G$55))</f>
        <v>0</v>
      </c>
      <c r="AJ22" s="380">
        <f t="shared" si="0"/>
        <v>0</v>
      </c>
      <c r="AK22" s="109">
        <f t="shared" si="9"/>
        <v>0</v>
      </c>
      <c r="AM22" s="2">
        <v>0</v>
      </c>
      <c r="AN22" s="2">
        <v>6</v>
      </c>
      <c r="AO22" s="329">
        <f t="shared" si="10"/>
        <v>0</v>
      </c>
      <c r="AP22" s="329">
        <f t="shared" si="11"/>
        <v>0</v>
      </c>
      <c r="AQ22" s="20">
        <f t="shared" si="12"/>
        <v>0</v>
      </c>
      <c r="AR22" s="36"/>
      <c r="AS22">
        <f t="shared" si="19"/>
        <v>0</v>
      </c>
      <c r="AT22" s="384">
        <f t="shared" si="20"/>
      </c>
      <c r="AU22" s="385">
        <f t="shared" si="13"/>
        <v>0</v>
      </c>
      <c r="AV22" s="36">
        <v>6</v>
      </c>
    </row>
    <row r="23" spans="1:48" ht="12.75">
      <c r="A23" s="443">
        <v>7</v>
      </c>
      <c r="B23" s="498">
        <f t="shared" si="1"/>
        <v>0</v>
      </c>
      <c r="C23" s="499"/>
      <c r="D23" s="498">
        <f>IF(B23+F23-D22&lt;=0,B23+F23,IF(A23=$B$9,$F$9,IF(A23=$B$10,$F$10,IF(AND('Simulador 7x5'!$AD$45=2,L22=0),D22*(1+Z23),IF($AN$3=2,B23*AK23,D22*(1+Z23))))))</f>
        <v>0</v>
      </c>
      <c r="E23" s="500"/>
      <c r="F23" s="500">
        <f t="shared" si="2"/>
        <v>0</v>
      </c>
      <c r="G23" s="500"/>
      <c r="H23" s="500">
        <f t="shared" si="14"/>
        <v>0</v>
      </c>
      <c r="I23" s="501"/>
      <c r="J23" s="504"/>
      <c r="K23" s="501"/>
      <c r="L23" s="502"/>
      <c r="M23" s="501"/>
      <c r="N23" s="500">
        <v>0</v>
      </c>
      <c r="O23" s="6"/>
      <c r="P23" s="457">
        <f t="shared" si="3"/>
        <v>0</v>
      </c>
      <c r="Q23" s="1"/>
      <c r="R23" s="500">
        <f t="shared" si="4"/>
        <v>0</v>
      </c>
      <c r="S23" s="500"/>
      <c r="T23" s="500">
        <f>IF(B23&lt;=0,0,B23*IF('Simulador 7x5'!$Y$81=1,0,'Simulador 7x5'!$U$75))</f>
        <v>0</v>
      </c>
      <c r="U23" s="500"/>
      <c r="V23" s="513">
        <f>IF(B23&lt;=0,0,IF('Simulador 7x5'!$T$41=1,'Simulador 7x5'!$E$55,'Simulador 7x5'!$G$55))</f>
        <v>0</v>
      </c>
      <c r="W23" s="500"/>
      <c r="X23" s="500">
        <f t="shared" si="5"/>
        <v>0</v>
      </c>
      <c r="Y23" s="7"/>
      <c r="Z23" s="9"/>
      <c r="AA23" s="3"/>
      <c r="AB23" s="2">
        <f t="shared" si="6"/>
        <v>0</v>
      </c>
      <c r="AC23" s="21">
        <f t="shared" si="7"/>
        <v>0</v>
      </c>
      <c r="AD23" s="380">
        <f t="shared" si="15"/>
        <v>0</v>
      </c>
      <c r="AE23" s="380">
        <f t="shared" si="16"/>
        <v>0</v>
      </c>
      <c r="AF23" s="381">
        <f t="shared" si="8"/>
        <v>0</v>
      </c>
      <c r="AG23" s="380">
        <f t="shared" si="17"/>
        <v>0</v>
      </c>
      <c r="AH23" s="380">
        <f t="shared" si="18"/>
        <v>0</v>
      </c>
      <c r="AI23" s="380">
        <f>IF(AD23&lt;=0,0,AD23*IF('Simulador 7x5'!$Y$81=1,0,'Simulador 7x5'!$U$75))+IF(AD23&lt;=0,0,IF('Simulador 7x5'!$T$41=1,'Simulador 7x5'!$E$55,'Simulador 7x5'!$G$55))</f>
        <v>0</v>
      </c>
      <c r="AJ23" s="380">
        <f t="shared" si="0"/>
        <v>0</v>
      </c>
      <c r="AK23" s="109">
        <f t="shared" si="9"/>
        <v>0</v>
      </c>
      <c r="AM23" s="2">
        <v>0</v>
      </c>
      <c r="AN23" s="2">
        <v>7</v>
      </c>
      <c r="AO23" s="329">
        <f t="shared" si="10"/>
        <v>0</v>
      </c>
      <c r="AP23" s="329">
        <f t="shared" si="11"/>
        <v>0</v>
      </c>
      <c r="AQ23" s="20">
        <f t="shared" si="12"/>
        <v>0</v>
      </c>
      <c r="AR23" s="36"/>
      <c r="AS23">
        <f t="shared" si="19"/>
        <v>0</v>
      </c>
      <c r="AT23" s="384">
        <f t="shared" si="20"/>
      </c>
      <c r="AU23" s="385">
        <f t="shared" si="13"/>
        <v>0</v>
      </c>
      <c r="AV23" s="36">
        <v>7</v>
      </c>
    </row>
    <row r="24" spans="1:48" ht="12.75">
      <c r="A24" s="443">
        <v>8</v>
      </c>
      <c r="B24" s="498">
        <f t="shared" si="1"/>
        <v>0</v>
      </c>
      <c r="C24" s="499"/>
      <c r="D24" s="498">
        <f>IF(B24+F24-D23&lt;=0,B24+F24,IF(A24=$B$9,$F$9,IF(A24=$B$10,$F$10,IF(AND('Simulador 7x5'!$AD$45=2,L23=0),D23*(1+Z24),IF($AN$3=2,B24*AK24,D23*(1+Z24))))))</f>
        <v>0</v>
      </c>
      <c r="E24" s="500"/>
      <c r="F24" s="500">
        <f t="shared" si="2"/>
        <v>0</v>
      </c>
      <c r="G24" s="500"/>
      <c r="H24" s="500">
        <f t="shared" si="14"/>
        <v>0</v>
      </c>
      <c r="I24" s="501"/>
      <c r="J24" s="503">
        <f>IF(B24-H24=0,0,J22)</f>
        <v>0</v>
      </c>
      <c r="K24" s="501"/>
      <c r="L24" s="502"/>
      <c r="M24" s="501"/>
      <c r="N24" s="500">
        <v>0</v>
      </c>
      <c r="O24" s="6"/>
      <c r="P24" s="457">
        <f t="shared" si="3"/>
        <v>0</v>
      </c>
      <c r="Q24" s="1"/>
      <c r="R24" s="500">
        <f t="shared" si="4"/>
        <v>0</v>
      </c>
      <c r="S24" s="500"/>
      <c r="T24" s="500">
        <f>IF(B24&lt;=0,0,B24*IF('Simulador 7x5'!$Y$81=1,0,'Simulador 7x5'!$U$75))</f>
        <v>0</v>
      </c>
      <c r="U24" s="500"/>
      <c r="V24" s="513">
        <f>IF(B24&lt;=0,0,IF('Simulador 7x5'!$T$41=1,'Simulador 7x5'!$E$55,'Simulador 7x5'!$G$55))</f>
        <v>0</v>
      </c>
      <c r="W24" s="500"/>
      <c r="X24" s="500">
        <f t="shared" si="5"/>
        <v>0</v>
      </c>
      <c r="Y24" s="7"/>
      <c r="Z24" s="9"/>
      <c r="AA24" s="3"/>
      <c r="AB24" s="2">
        <f t="shared" si="6"/>
        <v>0</v>
      </c>
      <c r="AC24" s="21">
        <f t="shared" si="7"/>
        <v>0</v>
      </c>
      <c r="AD24" s="380">
        <f t="shared" si="15"/>
        <v>0</v>
      </c>
      <c r="AE24" s="380">
        <f t="shared" si="16"/>
        <v>0</v>
      </c>
      <c r="AF24" s="381">
        <f t="shared" si="8"/>
        <v>0</v>
      </c>
      <c r="AG24" s="380">
        <f t="shared" si="17"/>
        <v>0</v>
      </c>
      <c r="AH24" s="380">
        <f t="shared" si="18"/>
        <v>0</v>
      </c>
      <c r="AI24" s="380">
        <f>IF(AD24&lt;=0,0,AD24*IF('Simulador 7x5'!$Y$81=1,0,'Simulador 7x5'!$U$75))+IF(AD24&lt;=0,0,IF('Simulador 7x5'!$T$41=1,'Simulador 7x5'!$E$55,'Simulador 7x5'!$G$55))</f>
        <v>0</v>
      </c>
      <c r="AJ24" s="380">
        <f t="shared" si="0"/>
        <v>0</v>
      </c>
      <c r="AK24" s="109">
        <f t="shared" si="9"/>
        <v>0</v>
      </c>
      <c r="AM24" s="2">
        <v>0</v>
      </c>
      <c r="AN24" s="2">
        <v>8</v>
      </c>
      <c r="AO24" s="329">
        <f t="shared" si="10"/>
        <v>0</v>
      </c>
      <c r="AP24" s="329">
        <f t="shared" si="11"/>
        <v>0</v>
      </c>
      <c r="AQ24" s="20">
        <f t="shared" si="12"/>
        <v>0</v>
      </c>
      <c r="AR24" s="36"/>
      <c r="AS24">
        <f t="shared" si="19"/>
        <v>0</v>
      </c>
      <c r="AT24" s="384">
        <f t="shared" si="20"/>
      </c>
      <c r="AU24" s="385">
        <f t="shared" si="13"/>
        <v>0</v>
      </c>
      <c r="AV24" s="36">
        <v>8</v>
      </c>
    </row>
    <row r="25" spans="1:48" ht="12.75">
      <c r="A25" s="443">
        <v>9</v>
      </c>
      <c r="B25" s="498">
        <f t="shared" si="1"/>
        <v>0</v>
      </c>
      <c r="C25" s="499"/>
      <c r="D25" s="498">
        <f>IF(B25+F25-D24&lt;=0,B25+F25,IF(A25=$B$9,$F$9,IF(A25=$B$10,$F$10,IF(AND('Simulador 7x5'!$AD$45=2,L24=0),D24*(1+Z25),IF($AN$3=2,B25*AK25,D24*(1+Z25))))))</f>
        <v>0</v>
      </c>
      <c r="E25" s="500"/>
      <c r="F25" s="500">
        <f t="shared" si="2"/>
        <v>0</v>
      </c>
      <c r="G25" s="500"/>
      <c r="H25" s="500">
        <f t="shared" si="14"/>
        <v>0</v>
      </c>
      <c r="I25" s="501"/>
      <c r="J25" s="504"/>
      <c r="K25" s="501"/>
      <c r="L25" s="502"/>
      <c r="M25" s="501"/>
      <c r="N25" s="500">
        <v>0</v>
      </c>
      <c r="O25" s="6"/>
      <c r="P25" s="457">
        <f t="shared" si="3"/>
        <v>0</v>
      </c>
      <c r="Q25" s="1"/>
      <c r="R25" s="500">
        <f t="shared" si="4"/>
        <v>0</v>
      </c>
      <c r="S25" s="500"/>
      <c r="T25" s="500">
        <f>IF(B25&lt;=0,0,B25*IF('Simulador 7x5'!$Y$81=1,0,'Simulador 7x5'!$U$75))</f>
        <v>0</v>
      </c>
      <c r="U25" s="500"/>
      <c r="V25" s="513">
        <f>IF(B25&lt;=0,0,IF('Simulador 7x5'!$T$41=1,'Simulador 7x5'!$E$55,'Simulador 7x5'!$G$55))</f>
        <v>0</v>
      </c>
      <c r="W25" s="500"/>
      <c r="X25" s="500">
        <f t="shared" si="5"/>
        <v>0</v>
      </c>
      <c r="Y25" s="7"/>
      <c r="Z25" s="9"/>
      <c r="AA25" s="11"/>
      <c r="AB25" s="2">
        <f t="shared" si="6"/>
        <v>0</v>
      </c>
      <c r="AC25" s="21">
        <f t="shared" si="7"/>
        <v>0</v>
      </c>
      <c r="AD25" s="380">
        <f t="shared" si="15"/>
        <v>0</v>
      </c>
      <c r="AE25" s="380">
        <f t="shared" si="16"/>
        <v>0</v>
      </c>
      <c r="AF25" s="381">
        <f t="shared" si="8"/>
        <v>0</v>
      </c>
      <c r="AG25" s="380">
        <f t="shared" si="17"/>
        <v>0</v>
      </c>
      <c r="AH25" s="380">
        <f t="shared" si="18"/>
        <v>0</v>
      </c>
      <c r="AI25" s="380">
        <f>IF(AD25&lt;=0,0,AD25*IF('Simulador 7x5'!$Y$81=1,0,'Simulador 7x5'!$U$75))+IF(AD25&lt;=0,0,IF('Simulador 7x5'!$T$41=1,'Simulador 7x5'!$E$55,'Simulador 7x5'!$G$55))</f>
        <v>0</v>
      </c>
      <c r="AJ25" s="380">
        <f t="shared" si="0"/>
        <v>0</v>
      </c>
      <c r="AK25" s="109">
        <f t="shared" si="9"/>
        <v>0</v>
      </c>
      <c r="AM25" s="2">
        <v>0</v>
      </c>
      <c r="AN25" s="140">
        <v>9</v>
      </c>
      <c r="AO25" s="329">
        <f t="shared" si="10"/>
        <v>0</v>
      </c>
      <c r="AP25" s="329">
        <f t="shared" si="11"/>
        <v>0</v>
      </c>
      <c r="AQ25" s="20">
        <f t="shared" si="12"/>
        <v>0</v>
      </c>
      <c r="AR25" s="36"/>
      <c r="AS25">
        <f t="shared" si="19"/>
        <v>0</v>
      </c>
      <c r="AT25" s="384">
        <f t="shared" si="20"/>
      </c>
      <c r="AU25" s="385">
        <f t="shared" si="13"/>
        <v>0</v>
      </c>
      <c r="AV25" s="36">
        <v>9</v>
      </c>
    </row>
    <row r="26" spans="1:48" ht="12.75">
      <c r="A26" s="443">
        <v>10</v>
      </c>
      <c r="B26" s="498">
        <f t="shared" si="1"/>
        <v>0</v>
      </c>
      <c r="C26" s="499"/>
      <c r="D26" s="498">
        <f>IF(B26+F26-D25&lt;=0,B26+F26,IF(A26=$B$9,$F$9,IF(A26=$B$10,$F$10,IF(AND('Simulador 7x5'!$AD$45=2,L25=0),D25*(1+Z26),IF($AN$3=2,B26*AK26,D25*(1+Z26))))))</f>
        <v>0</v>
      </c>
      <c r="E26" s="500"/>
      <c r="F26" s="500">
        <f t="shared" si="2"/>
        <v>0</v>
      </c>
      <c r="G26" s="500"/>
      <c r="H26" s="500">
        <f t="shared" si="14"/>
        <v>0</v>
      </c>
      <c r="I26" s="501"/>
      <c r="J26" s="503">
        <f>IF(B26-H26=0,0,J24)</f>
        <v>0</v>
      </c>
      <c r="K26" s="501"/>
      <c r="L26" s="502"/>
      <c r="M26" s="501"/>
      <c r="N26" s="500">
        <v>0</v>
      </c>
      <c r="O26" s="6"/>
      <c r="P26" s="457">
        <f t="shared" si="3"/>
        <v>0</v>
      </c>
      <c r="Q26" s="1"/>
      <c r="R26" s="500">
        <f t="shared" si="4"/>
        <v>0</v>
      </c>
      <c r="S26" s="500"/>
      <c r="T26" s="500">
        <f>IF(B26&lt;=0,0,B26*IF('Simulador 7x5'!$Y$81=1,0,'Simulador 7x5'!$U$75))</f>
        <v>0</v>
      </c>
      <c r="U26" s="500"/>
      <c r="V26" s="513">
        <f>IF(B26&lt;=0,0,IF('Simulador 7x5'!$T$41=1,'Simulador 7x5'!$E$55,'Simulador 7x5'!$G$55))</f>
        <v>0</v>
      </c>
      <c r="W26" s="500"/>
      <c r="X26" s="500">
        <f t="shared" si="5"/>
        <v>0</v>
      </c>
      <c r="Y26" s="7"/>
      <c r="Z26" s="9"/>
      <c r="AA26" s="11"/>
      <c r="AB26" s="2">
        <f t="shared" si="6"/>
        <v>0</v>
      </c>
      <c r="AC26" s="21">
        <f t="shared" si="7"/>
        <v>0</v>
      </c>
      <c r="AD26" s="380">
        <f t="shared" si="15"/>
        <v>0</v>
      </c>
      <c r="AE26" s="380">
        <f t="shared" si="16"/>
        <v>0</v>
      </c>
      <c r="AF26" s="381">
        <f t="shared" si="8"/>
        <v>0</v>
      </c>
      <c r="AG26" s="380">
        <f t="shared" si="17"/>
        <v>0</v>
      </c>
      <c r="AH26" s="380">
        <f t="shared" si="18"/>
        <v>0</v>
      </c>
      <c r="AI26" s="380">
        <f>IF(AD26&lt;=0,0,AD26*IF('Simulador 7x5'!$Y$81=1,0,'Simulador 7x5'!$U$75))+IF(AD26&lt;=0,0,IF('Simulador 7x5'!$T$41=1,'Simulador 7x5'!$E$55,'Simulador 7x5'!$G$55))</f>
        <v>0</v>
      </c>
      <c r="AJ26" s="380">
        <f t="shared" si="0"/>
        <v>0</v>
      </c>
      <c r="AK26" s="109">
        <f t="shared" si="9"/>
        <v>0</v>
      </c>
      <c r="AM26" s="2">
        <v>0</v>
      </c>
      <c r="AN26" s="140">
        <v>10</v>
      </c>
      <c r="AO26" s="329">
        <f t="shared" si="10"/>
        <v>0</v>
      </c>
      <c r="AP26" s="329">
        <f t="shared" si="11"/>
        <v>0</v>
      </c>
      <c r="AQ26" s="20">
        <f t="shared" si="12"/>
        <v>0</v>
      </c>
      <c r="AR26" s="36"/>
      <c r="AS26">
        <f t="shared" si="19"/>
        <v>0</v>
      </c>
      <c r="AT26" s="384">
        <f t="shared" si="20"/>
      </c>
      <c r="AU26" s="385">
        <f t="shared" si="13"/>
        <v>0</v>
      </c>
      <c r="AV26" s="36">
        <v>10</v>
      </c>
    </row>
    <row r="27" spans="1:48" ht="12.75">
      <c r="A27" s="443">
        <v>11</v>
      </c>
      <c r="B27" s="498">
        <f t="shared" si="1"/>
        <v>0</v>
      </c>
      <c r="C27" s="499"/>
      <c r="D27" s="498">
        <f>IF(B27+F27-D26&lt;=0,B27+F27,IF(A27=$B$9,$F$9,IF(A27=$B$10,$F$10,IF(AND('Simulador 7x5'!$AD$45=2,L26=0),D26*(1+Z27),IF($AN$3=2,B27*AK27,D26*(1+Z27))))))</f>
        <v>0</v>
      </c>
      <c r="E27" s="500"/>
      <c r="F27" s="500">
        <f t="shared" si="2"/>
        <v>0</v>
      </c>
      <c r="G27" s="500"/>
      <c r="H27" s="500">
        <f t="shared" si="14"/>
        <v>0</v>
      </c>
      <c r="I27" s="501"/>
      <c r="J27" s="504"/>
      <c r="K27" s="501"/>
      <c r="L27" s="502"/>
      <c r="M27" s="501"/>
      <c r="N27" s="500">
        <v>0</v>
      </c>
      <c r="O27" s="6"/>
      <c r="P27" s="457">
        <f t="shared" si="3"/>
        <v>0</v>
      </c>
      <c r="Q27" s="1"/>
      <c r="R27" s="500">
        <f t="shared" si="4"/>
        <v>0</v>
      </c>
      <c r="S27" s="500"/>
      <c r="T27" s="500">
        <f>IF(B27&lt;=0,0,B27*IF('Simulador 7x5'!$Y$81=1,0,'Simulador 7x5'!$U$75))</f>
        <v>0</v>
      </c>
      <c r="U27" s="500"/>
      <c r="V27" s="513">
        <f>IF(B27&lt;=0,0,IF('Simulador 7x5'!$T$41=1,'Simulador 7x5'!$E$55,'Simulador 7x5'!$G$55))</f>
        <v>0</v>
      </c>
      <c r="W27" s="500"/>
      <c r="X27" s="500">
        <f t="shared" si="5"/>
        <v>0</v>
      </c>
      <c r="Y27" s="7"/>
      <c r="Z27" s="9"/>
      <c r="AA27" s="3"/>
      <c r="AB27" s="2">
        <f t="shared" si="6"/>
        <v>0</v>
      </c>
      <c r="AC27" s="21">
        <f t="shared" si="7"/>
        <v>0</v>
      </c>
      <c r="AD27" s="380">
        <f t="shared" si="15"/>
        <v>0</v>
      </c>
      <c r="AE27" s="380">
        <f t="shared" si="16"/>
        <v>0</v>
      </c>
      <c r="AF27" s="381">
        <f t="shared" si="8"/>
        <v>0</v>
      </c>
      <c r="AG27" s="380">
        <f t="shared" si="17"/>
        <v>0</v>
      </c>
      <c r="AH27" s="380">
        <f t="shared" si="18"/>
        <v>0</v>
      </c>
      <c r="AI27" s="380">
        <f>IF(AD27&lt;=0,0,AD27*IF('Simulador 7x5'!$Y$81=1,0,'Simulador 7x5'!$U$75))+IF(AD27&lt;=0,0,IF('Simulador 7x5'!$T$41=1,'Simulador 7x5'!$E$55,'Simulador 7x5'!$G$55))</f>
        <v>0</v>
      </c>
      <c r="AJ27" s="380">
        <f t="shared" si="0"/>
        <v>0</v>
      </c>
      <c r="AK27" s="109">
        <f t="shared" si="9"/>
        <v>0</v>
      </c>
      <c r="AM27" s="2">
        <v>0</v>
      </c>
      <c r="AN27" s="2">
        <v>11</v>
      </c>
      <c r="AO27" s="329">
        <f t="shared" si="10"/>
        <v>0</v>
      </c>
      <c r="AP27" s="329">
        <f t="shared" si="11"/>
        <v>0</v>
      </c>
      <c r="AQ27" s="20">
        <f t="shared" si="12"/>
        <v>0</v>
      </c>
      <c r="AR27" s="36"/>
      <c r="AS27">
        <f t="shared" si="19"/>
        <v>0</v>
      </c>
      <c r="AT27" s="384">
        <f t="shared" si="20"/>
      </c>
      <c r="AU27" s="385">
        <f t="shared" si="13"/>
        <v>0</v>
      </c>
      <c r="AV27" s="36">
        <v>11</v>
      </c>
    </row>
    <row r="28" spans="1:48" ht="12.75">
      <c r="A28" s="443">
        <v>12</v>
      </c>
      <c r="B28" s="498">
        <f t="shared" si="1"/>
        <v>0</v>
      </c>
      <c r="C28" s="499"/>
      <c r="D28" s="498">
        <f>IF(B28+F28-D27&lt;=0,B28+F28,IF(A28=$B$9,$F$9,IF(A28=$B$10,$F$10,IF(AND('Simulador 7x5'!$AD$45=2,L27=0),D27*(1+Z28),IF($AN$3=2,B28*AK28,D27*(1+Z28))))))</f>
        <v>0</v>
      </c>
      <c r="E28" s="500"/>
      <c r="F28" s="500">
        <f t="shared" si="2"/>
        <v>0</v>
      </c>
      <c r="G28" s="500"/>
      <c r="H28" s="500">
        <f t="shared" si="14"/>
        <v>0</v>
      </c>
      <c r="I28" s="501"/>
      <c r="J28" s="503">
        <f>IF(B28-H28=0,0,J26)</f>
        <v>0</v>
      </c>
      <c r="K28" s="501"/>
      <c r="L28" s="502"/>
      <c r="M28" s="501"/>
      <c r="N28" s="500">
        <v>0</v>
      </c>
      <c r="O28" s="6"/>
      <c r="P28" s="457">
        <f t="shared" si="3"/>
        <v>0</v>
      </c>
      <c r="Q28" s="1"/>
      <c r="R28" s="500">
        <f t="shared" si="4"/>
        <v>0</v>
      </c>
      <c r="S28" s="500"/>
      <c r="T28" s="500">
        <f>IF(B28&lt;=0,0,B28*IF('Simulador 7x5'!$Y$81=1,0,'Simulador 7x5'!$U$75))</f>
        <v>0</v>
      </c>
      <c r="U28" s="500"/>
      <c r="V28" s="513">
        <f>IF(B28&lt;=0,0,IF('Simulador 7x5'!$T$41=1,'Simulador 7x5'!$E$55,'Simulador 7x5'!$G$55))</f>
        <v>0</v>
      </c>
      <c r="W28" s="500"/>
      <c r="X28" s="500">
        <f t="shared" si="5"/>
        <v>0</v>
      </c>
      <c r="Y28" s="7"/>
      <c r="Z28" s="9"/>
      <c r="AA28" s="3"/>
      <c r="AB28" s="2">
        <f t="shared" si="6"/>
        <v>0</v>
      </c>
      <c r="AC28" s="21">
        <f t="shared" si="7"/>
        <v>0</v>
      </c>
      <c r="AD28" s="380">
        <f t="shared" si="15"/>
        <v>0</v>
      </c>
      <c r="AE28" s="380">
        <f t="shared" si="16"/>
        <v>0</v>
      </c>
      <c r="AF28" s="381">
        <f t="shared" si="8"/>
        <v>0</v>
      </c>
      <c r="AG28" s="380">
        <f t="shared" si="17"/>
        <v>0</v>
      </c>
      <c r="AH28" s="380">
        <f t="shared" si="18"/>
        <v>0</v>
      </c>
      <c r="AI28" s="380">
        <f>IF(AD28&lt;=0,0,AD28*IF('Simulador 7x5'!$Y$81=1,0,'Simulador 7x5'!$U$75))+IF(AD28&lt;=0,0,IF('Simulador 7x5'!$T$41=1,'Simulador 7x5'!$E$55,'Simulador 7x5'!$G$55))</f>
        <v>0</v>
      </c>
      <c r="AJ28" s="380">
        <f t="shared" si="0"/>
        <v>0</v>
      </c>
      <c r="AK28" s="109">
        <f t="shared" si="9"/>
        <v>0</v>
      </c>
      <c r="AM28" s="2">
        <v>1</v>
      </c>
      <c r="AN28" s="2">
        <v>0</v>
      </c>
      <c r="AO28" s="329">
        <f t="shared" si="10"/>
        <v>0</v>
      </c>
      <c r="AP28" s="329">
        <f t="shared" si="11"/>
        <v>0</v>
      </c>
      <c r="AQ28" s="20">
        <f t="shared" si="12"/>
        <v>0</v>
      </c>
      <c r="AR28" s="36"/>
      <c r="AS28">
        <f t="shared" si="19"/>
        <v>0</v>
      </c>
      <c r="AT28" s="384">
        <f t="shared" si="20"/>
      </c>
      <c r="AU28" s="385">
        <f t="shared" si="13"/>
        <v>0</v>
      </c>
      <c r="AV28" s="36">
        <v>12</v>
      </c>
    </row>
    <row r="29" spans="1:48" ht="12.75">
      <c r="A29" s="443">
        <v>13</v>
      </c>
      <c r="B29" s="498">
        <f t="shared" si="1"/>
        <v>0</v>
      </c>
      <c r="C29" s="499"/>
      <c r="D29" s="498">
        <f>IF(B29+F29-D28&lt;=0,B29+F29,IF(A29=$B$9,$F$9,IF(A29=$B$10,$F$10,IF(AND('Simulador 7x5'!$AD$45=2,L28=0),D28*(1+Z29),IF($AN$3=2,B29*AK29,D28*(1+Z29))))))</f>
        <v>0</v>
      </c>
      <c r="E29" s="500"/>
      <c r="F29" s="500">
        <f t="shared" si="2"/>
        <v>0</v>
      </c>
      <c r="G29" s="500"/>
      <c r="H29" s="500">
        <f t="shared" si="14"/>
        <v>0</v>
      </c>
      <c r="I29" s="501"/>
      <c r="J29" s="504"/>
      <c r="K29" s="501"/>
      <c r="L29" s="502"/>
      <c r="M29" s="501"/>
      <c r="N29" s="500">
        <v>0</v>
      </c>
      <c r="O29" s="6"/>
      <c r="P29" s="457">
        <f t="shared" si="3"/>
        <v>0</v>
      </c>
      <c r="Q29" s="1"/>
      <c r="R29" s="500">
        <f t="shared" si="4"/>
        <v>0</v>
      </c>
      <c r="S29" s="500"/>
      <c r="T29" s="500">
        <f>IF(B29&lt;=0,0,B29*IF('Simulador 7x5'!$Y$81=1,0,'Simulador 7x5'!$U$75))</f>
        <v>0</v>
      </c>
      <c r="U29" s="500"/>
      <c r="V29" s="513">
        <f>IF(B29&lt;=0,0,IF('Simulador 7x5'!$T$41=1,'Simulador 7x5'!$E$55,'Simulador 7x5'!$G$55))</f>
        <v>0</v>
      </c>
      <c r="W29" s="500"/>
      <c r="X29" s="500">
        <f t="shared" si="5"/>
        <v>0</v>
      </c>
      <c r="Y29" s="7"/>
      <c r="Z29" s="12">
        <f>IF(B29&lt;=0,0,'Simulador 7x5'!$AE$54)</f>
        <v>0</v>
      </c>
      <c r="AA29" s="5"/>
      <c r="AB29" s="2">
        <f t="shared" si="6"/>
        <v>0</v>
      </c>
      <c r="AC29" s="21">
        <f t="shared" si="7"/>
        <v>0</v>
      </c>
      <c r="AD29" s="380">
        <f t="shared" si="15"/>
        <v>0</v>
      </c>
      <c r="AE29" s="380">
        <f t="shared" si="16"/>
        <v>0</v>
      </c>
      <c r="AF29" s="381">
        <f t="shared" si="8"/>
        <v>0</v>
      </c>
      <c r="AG29" s="380">
        <f t="shared" si="17"/>
        <v>0</v>
      </c>
      <c r="AH29" s="380">
        <f t="shared" si="18"/>
        <v>0</v>
      </c>
      <c r="AI29" s="380">
        <f>IF(AD29&lt;=0,0,AD29*IF('Simulador 7x5'!$Y$81=1,0,'Simulador 7x5'!$U$75))+IF(AD29&lt;=0,0,IF('Simulador 7x5'!$T$41=1,'Simulador 7x5'!$E$55,'Simulador 7x5'!$G$55))</f>
        <v>0</v>
      </c>
      <c r="AJ29" s="380">
        <f t="shared" si="0"/>
        <v>0</v>
      </c>
      <c r="AK29" s="109">
        <f t="shared" si="9"/>
        <v>0</v>
      </c>
      <c r="AM29" s="2">
        <v>1</v>
      </c>
      <c r="AN29" s="2">
        <v>1</v>
      </c>
      <c r="AO29" s="329">
        <f t="shared" si="10"/>
        <v>0</v>
      </c>
      <c r="AP29" s="329">
        <f t="shared" si="11"/>
        <v>0</v>
      </c>
      <c r="AQ29" s="20">
        <f t="shared" si="12"/>
        <v>0</v>
      </c>
      <c r="AR29" s="36"/>
      <c r="AS29">
        <f t="shared" si="19"/>
        <v>0</v>
      </c>
      <c r="AT29" s="384">
        <f t="shared" si="20"/>
      </c>
      <c r="AU29" s="385">
        <f t="shared" si="13"/>
        <v>0</v>
      </c>
      <c r="AV29" s="36">
        <v>13</v>
      </c>
    </row>
    <row r="30" spans="1:48" ht="12.75">
      <c r="A30" s="443">
        <v>14</v>
      </c>
      <c r="B30" s="498">
        <f t="shared" si="1"/>
        <v>0</v>
      </c>
      <c r="C30" s="499"/>
      <c r="D30" s="498">
        <f>IF(B30+F30-D29&lt;=0,B30+F30,IF(A30=$B$9,$F$9,IF(A30=$B$10,$F$10,IF(AND('Simulador 7x5'!$AD$45=2,L29=0),D29*(1+Z30),IF($AN$3=2,B30*AK30,D29*(1+Z30))))))</f>
        <v>0</v>
      </c>
      <c r="E30" s="500"/>
      <c r="F30" s="500">
        <f t="shared" si="2"/>
        <v>0</v>
      </c>
      <c r="G30" s="500"/>
      <c r="H30" s="500">
        <f t="shared" si="14"/>
        <v>0</v>
      </c>
      <c r="I30" s="501"/>
      <c r="J30" s="505">
        <f>IF(B30-H30=0,0,J28*(1+(3%)))</f>
        <v>0</v>
      </c>
      <c r="K30" s="501"/>
      <c r="L30" s="502"/>
      <c r="M30" s="501"/>
      <c r="N30" s="500">
        <v>0</v>
      </c>
      <c r="O30" s="6"/>
      <c r="P30" s="457">
        <f t="shared" si="3"/>
        <v>0</v>
      </c>
      <c r="Q30" s="1"/>
      <c r="R30" s="500">
        <f t="shared" si="4"/>
        <v>0</v>
      </c>
      <c r="S30" s="500"/>
      <c r="T30" s="500">
        <f>IF(B30&lt;=0,0,B30*IF('Simulador 7x5'!$Y$81=1,0,'Simulador 7x5'!$U$75))</f>
        <v>0</v>
      </c>
      <c r="U30" s="500"/>
      <c r="V30" s="513">
        <f>IF(B30&lt;=0,0,IF('Simulador 7x5'!$T$41=1,'Simulador 7x5'!$E$55,'Simulador 7x5'!$G$55))</f>
        <v>0</v>
      </c>
      <c r="W30" s="500"/>
      <c r="X30" s="500">
        <f t="shared" si="5"/>
        <v>0</v>
      </c>
      <c r="Y30" s="7"/>
      <c r="Z30" s="9"/>
      <c r="AA30" s="13"/>
      <c r="AB30" s="2">
        <f t="shared" si="6"/>
        <v>0</v>
      </c>
      <c r="AC30" s="21">
        <f t="shared" si="7"/>
        <v>0</v>
      </c>
      <c r="AD30" s="380">
        <f t="shared" si="15"/>
        <v>0</v>
      </c>
      <c r="AE30" s="380">
        <f t="shared" si="16"/>
        <v>0</v>
      </c>
      <c r="AF30" s="381">
        <f t="shared" si="8"/>
        <v>0</v>
      </c>
      <c r="AG30" s="380">
        <f t="shared" si="17"/>
        <v>0</v>
      </c>
      <c r="AH30" s="380">
        <f t="shared" si="18"/>
        <v>0</v>
      </c>
      <c r="AI30" s="380">
        <f>IF(AD30&lt;=0,0,AD30*IF('Simulador 7x5'!$Y$81=1,0,'Simulador 7x5'!$U$75))+IF(AD30&lt;=0,0,IF('Simulador 7x5'!$T$41=1,'Simulador 7x5'!$E$55,'Simulador 7x5'!$G$55))</f>
        <v>0</v>
      </c>
      <c r="AJ30" s="380">
        <f t="shared" si="0"/>
        <v>0</v>
      </c>
      <c r="AK30" s="109">
        <f t="shared" si="9"/>
        <v>0</v>
      </c>
      <c r="AM30" s="2">
        <v>1</v>
      </c>
      <c r="AN30" s="139">
        <v>2</v>
      </c>
      <c r="AO30" s="329">
        <f t="shared" si="10"/>
        <v>0</v>
      </c>
      <c r="AP30" s="329">
        <f t="shared" si="11"/>
        <v>0</v>
      </c>
      <c r="AQ30" s="20">
        <f t="shared" si="12"/>
        <v>0</v>
      </c>
      <c r="AR30" s="36"/>
      <c r="AS30">
        <f t="shared" si="19"/>
        <v>0</v>
      </c>
      <c r="AT30" s="384">
        <f t="shared" si="20"/>
      </c>
      <c r="AU30" s="385">
        <f t="shared" si="13"/>
        <v>0</v>
      </c>
      <c r="AV30" s="36">
        <v>14</v>
      </c>
    </row>
    <row r="31" spans="1:48" ht="12.75">
      <c r="A31" s="443">
        <v>15</v>
      </c>
      <c r="B31" s="498">
        <f t="shared" si="1"/>
        <v>0</v>
      </c>
      <c r="C31" s="499"/>
      <c r="D31" s="498">
        <f>IF(B31+F31-D30&lt;=0,B31+F31,IF(A31=$B$9,$F$9,IF(A31=$B$10,$F$10,IF(AND('Simulador 7x5'!$AD$45=2,L30=0),D30*(1+Z31),IF($AN$3=2,B31*AK31,D30*(1+Z31))))))</f>
        <v>0</v>
      </c>
      <c r="E31" s="500"/>
      <c r="F31" s="500">
        <f t="shared" si="2"/>
        <v>0</v>
      </c>
      <c r="G31" s="500"/>
      <c r="H31" s="500">
        <f t="shared" si="14"/>
        <v>0</v>
      </c>
      <c r="I31" s="501"/>
      <c r="J31" s="506"/>
      <c r="K31" s="501"/>
      <c r="L31" s="502"/>
      <c r="M31" s="501"/>
      <c r="N31" s="500">
        <v>0</v>
      </c>
      <c r="O31" s="6"/>
      <c r="P31" s="457">
        <f t="shared" si="3"/>
        <v>0</v>
      </c>
      <c r="Q31" s="1"/>
      <c r="R31" s="500">
        <f t="shared" si="4"/>
        <v>0</v>
      </c>
      <c r="S31" s="500"/>
      <c r="T31" s="500">
        <f>IF(B31&lt;=0,0,B31*IF('Simulador 7x5'!$Y$81=1,0,'Simulador 7x5'!$U$75))</f>
        <v>0</v>
      </c>
      <c r="U31" s="500"/>
      <c r="V31" s="513">
        <f>IF(B31&lt;=0,0,IF('Simulador 7x5'!$T$41=1,'Simulador 7x5'!$E$55,'Simulador 7x5'!$G$55))</f>
        <v>0</v>
      </c>
      <c r="W31" s="500"/>
      <c r="X31" s="500">
        <f t="shared" si="5"/>
        <v>0</v>
      </c>
      <c r="Y31" s="7"/>
      <c r="Z31" s="9"/>
      <c r="AA31" s="13"/>
      <c r="AB31" s="2">
        <f t="shared" si="6"/>
        <v>0</v>
      </c>
      <c r="AC31" s="21">
        <f t="shared" si="7"/>
        <v>0</v>
      </c>
      <c r="AD31" s="380">
        <f t="shared" si="15"/>
        <v>0</v>
      </c>
      <c r="AE31" s="380">
        <f t="shared" si="16"/>
        <v>0</v>
      </c>
      <c r="AF31" s="381">
        <f t="shared" si="8"/>
        <v>0</v>
      </c>
      <c r="AG31" s="380">
        <f t="shared" si="17"/>
        <v>0</v>
      </c>
      <c r="AH31" s="380">
        <f t="shared" si="18"/>
        <v>0</v>
      </c>
      <c r="AI31" s="380">
        <f>IF(AD31&lt;=0,0,AD31*IF('Simulador 7x5'!$Y$81=1,0,'Simulador 7x5'!$U$75))+IF(AD31&lt;=0,0,IF('Simulador 7x5'!$T$41=1,'Simulador 7x5'!$E$55,'Simulador 7x5'!$G$55))</f>
        <v>0</v>
      </c>
      <c r="AJ31" s="380">
        <f t="shared" si="0"/>
        <v>0</v>
      </c>
      <c r="AK31" s="109">
        <f t="shared" si="9"/>
        <v>0</v>
      </c>
      <c r="AM31" s="2">
        <v>1</v>
      </c>
      <c r="AN31" s="139">
        <v>3</v>
      </c>
      <c r="AO31" s="329">
        <f t="shared" si="10"/>
        <v>0</v>
      </c>
      <c r="AP31" s="329">
        <f t="shared" si="11"/>
        <v>0</v>
      </c>
      <c r="AQ31" s="20">
        <f t="shared" si="12"/>
        <v>0</v>
      </c>
      <c r="AR31" s="36"/>
      <c r="AS31">
        <f t="shared" si="19"/>
        <v>0</v>
      </c>
      <c r="AT31" s="384">
        <f t="shared" si="20"/>
      </c>
      <c r="AU31" s="385">
        <f t="shared" si="13"/>
        <v>0</v>
      </c>
      <c r="AV31" s="36">
        <v>15</v>
      </c>
    </row>
    <row r="32" spans="1:48" ht="12.75">
      <c r="A32" s="444">
        <v>16</v>
      </c>
      <c r="B32" s="498">
        <f t="shared" si="1"/>
        <v>0</v>
      </c>
      <c r="C32" s="499"/>
      <c r="D32" s="498">
        <f>IF(B32+F32-D31&lt;=0,B32+F32,IF(A32=$B$9,$F$9,IF(A32=$B$10,$F$10,IF(AND('Simulador 7x5'!$AD$45=2,L31=0),D31*(1+Z32),IF($AN$3=2,B32*AK32,D31*(1+Z32))))))</f>
        <v>0</v>
      </c>
      <c r="E32" s="500"/>
      <c r="F32" s="500">
        <f t="shared" si="2"/>
        <v>0</v>
      </c>
      <c r="G32" s="500"/>
      <c r="H32" s="500">
        <f t="shared" si="14"/>
        <v>0</v>
      </c>
      <c r="I32" s="501"/>
      <c r="J32" s="505">
        <f>IF(B32-H32=0,0,J30)</f>
        <v>0</v>
      </c>
      <c r="K32" s="501"/>
      <c r="L32" s="502"/>
      <c r="M32" s="501"/>
      <c r="N32" s="500">
        <v>0</v>
      </c>
      <c r="O32" s="6"/>
      <c r="P32" s="457">
        <f t="shared" si="3"/>
        <v>0</v>
      </c>
      <c r="Q32" s="1"/>
      <c r="R32" s="500">
        <f t="shared" si="4"/>
        <v>0</v>
      </c>
      <c r="S32" s="500"/>
      <c r="T32" s="500">
        <f>IF(B32&lt;=0,0,B32*IF('Simulador 7x5'!$Y$81=1,0,'Simulador 7x5'!$U$75))</f>
        <v>0</v>
      </c>
      <c r="U32" s="500"/>
      <c r="V32" s="513">
        <f>IF(B32&lt;=0,0,IF('Simulador 7x5'!$T$41=1,'Simulador 7x5'!$E$55,'Simulador 7x5'!$G$55))</f>
        <v>0</v>
      </c>
      <c r="W32" s="500"/>
      <c r="X32" s="500">
        <f t="shared" si="5"/>
        <v>0</v>
      </c>
      <c r="Y32" s="7"/>
      <c r="Z32" s="14"/>
      <c r="AA32" s="15"/>
      <c r="AB32" s="2">
        <f t="shared" si="6"/>
        <v>0</v>
      </c>
      <c r="AC32" s="21">
        <f t="shared" si="7"/>
        <v>0</v>
      </c>
      <c r="AD32" s="380">
        <f t="shared" si="15"/>
        <v>0</v>
      </c>
      <c r="AE32" s="380">
        <f t="shared" si="16"/>
        <v>0</v>
      </c>
      <c r="AF32" s="381">
        <f t="shared" si="8"/>
        <v>0</v>
      </c>
      <c r="AG32" s="380">
        <f t="shared" si="17"/>
        <v>0</v>
      </c>
      <c r="AH32" s="380">
        <f t="shared" si="18"/>
        <v>0</v>
      </c>
      <c r="AI32" s="380">
        <f>IF(AD32&lt;=0,0,AD32*IF('Simulador 7x5'!$Y$81=1,0,'Simulador 7x5'!$U$75))+IF(AD32&lt;=0,0,IF('Simulador 7x5'!$T$41=1,'Simulador 7x5'!$E$55,'Simulador 7x5'!$G$55))</f>
        <v>0</v>
      </c>
      <c r="AJ32" s="380">
        <f t="shared" si="0"/>
        <v>0</v>
      </c>
      <c r="AK32" s="109">
        <f t="shared" si="9"/>
        <v>0</v>
      </c>
      <c r="AM32" s="2">
        <v>1</v>
      </c>
      <c r="AN32" s="2">
        <v>4</v>
      </c>
      <c r="AO32" s="329">
        <f t="shared" si="10"/>
        <v>0</v>
      </c>
      <c r="AP32" s="329">
        <f t="shared" si="11"/>
        <v>0</v>
      </c>
      <c r="AQ32" s="20">
        <f t="shared" si="12"/>
        <v>0</v>
      </c>
      <c r="AR32" s="36"/>
      <c r="AS32">
        <f t="shared" si="19"/>
        <v>0</v>
      </c>
      <c r="AT32" s="384">
        <f t="shared" si="20"/>
      </c>
      <c r="AU32" s="385">
        <f t="shared" si="13"/>
        <v>0</v>
      </c>
      <c r="AV32" s="36">
        <v>16</v>
      </c>
    </row>
    <row r="33" spans="1:48" ht="12.75">
      <c r="A33" s="443">
        <v>17</v>
      </c>
      <c r="B33" s="498">
        <f t="shared" si="1"/>
        <v>0</v>
      </c>
      <c r="C33" s="499"/>
      <c r="D33" s="498">
        <f>IF(B33+F33-D32&lt;=0,B33+F33,IF(A33=$B$9,$F$9,IF(A33=$B$10,$F$10,IF(AND('Simulador 7x5'!$AD$45=2,L32=0),D32*(1+Z33),IF($AN$3=2,B33*AK33,D32*(1+Z33))))))</f>
        <v>0</v>
      </c>
      <c r="E33" s="500"/>
      <c r="F33" s="500">
        <f t="shared" si="2"/>
        <v>0</v>
      </c>
      <c r="G33" s="500"/>
      <c r="H33" s="500">
        <f t="shared" si="14"/>
        <v>0</v>
      </c>
      <c r="I33" s="501"/>
      <c r="J33" s="506"/>
      <c r="K33" s="501"/>
      <c r="L33" s="502"/>
      <c r="M33" s="501"/>
      <c r="N33" s="500">
        <v>0</v>
      </c>
      <c r="O33" s="6"/>
      <c r="P33" s="457">
        <f t="shared" si="3"/>
        <v>0</v>
      </c>
      <c r="Q33" s="1"/>
      <c r="R33" s="500">
        <f t="shared" si="4"/>
        <v>0</v>
      </c>
      <c r="S33" s="500"/>
      <c r="T33" s="500">
        <f>IF(B33&lt;=0,0,B33*IF('Simulador 7x5'!$Y$81=1,0,'Simulador 7x5'!$U$75))</f>
        <v>0</v>
      </c>
      <c r="U33" s="500"/>
      <c r="V33" s="513">
        <f>IF(B33&lt;=0,0,IF('Simulador 7x5'!$T$41=1,'Simulador 7x5'!$E$55,'Simulador 7x5'!$G$55))</f>
        <v>0</v>
      </c>
      <c r="W33" s="500"/>
      <c r="X33" s="500">
        <f t="shared" si="5"/>
        <v>0</v>
      </c>
      <c r="Y33" s="7"/>
      <c r="Z33" s="9"/>
      <c r="AA33" s="13"/>
      <c r="AB33" s="2">
        <f t="shared" si="6"/>
        <v>0</v>
      </c>
      <c r="AC33" s="21">
        <f t="shared" si="7"/>
        <v>0</v>
      </c>
      <c r="AD33" s="380">
        <f t="shared" si="15"/>
        <v>0</v>
      </c>
      <c r="AE33" s="380">
        <f t="shared" si="16"/>
        <v>0</v>
      </c>
      <c r="AF33" s="381">
        <f t="shared" si="8"/>
        <v>0</v>
      </c>
      <c r="AG33" s="380">
        <f t="shared" si="17"/>
        <v>0</v>
      </c>
      <c r="AH33" s="380">
        <f t="shared" si="18"/>
        <v>0</v>
      </c>
      <c r="AI33" s="380">
        <f>IF(AD33&lt;=0,0,AD33*IF('Simulador 7x5'!$Y$81=1,0,'Simulador 7x5'!$U$75))+IF(AD33&lt;=0,0,IF('Simulador 7x5'!$T$41=1,'Simulador 7x5'!$E$55,'Simulador 7x5'!$G$55))</f>
        <v>0</v>
      </c>
      <c r="AJ33" s="380">
        <f t="shared" si="0"/>
        <v>0</v>
      </c>
      <c r="AK33" s="109">
        <f t="shared" si="9"/>
        <v>0</v>
      </c>
      <c r="AM33" s="2">
        <v>1</v>
      </c>
      <c r="AN33" s="2">
        <v>5</v>
      </c>
      <c r="AO33" s="329">
        <f t="shared" si="10"/>
        <v>0</v>
      </c>
      <c r="AP33" s="329">
        <f t="shared" si="11"/>
        <v>0</v>
      </c>
      <c r="AQ33" s="20">
        <f t="shared" si="12"/>
        <v>0</v>
      </c>
      <c r="AR33" s="36"/>
      <c r="AS33">
        <f t="shared" si="19"/>
        <v>0</v>
      </c>
      <c r="AT33" s="384">
        <f t="shared" si="20"/>
      </c>
      <c r="AU33" s="385">
        <f t="shared" si="13"/>
        <v>0</v>
      </c>
      <c r="AV33" s="36">
        <v>17</v>
      </c>
    </row>
    <row r="34" spans="1:48" ht="12.75">
      <c r="A34" s="443">
        <v>18</v>
      </c>
      <c r="B34" s="498">
        <f t="shared" si="1"/>
        <v>0</v>
      </c>
      <c r="C34" s="499"/>
      <c r="D34" s="498">
        <f>IF(B34+F34-D33&lt;=0,B34+F34,IF(A34=$B$9,$F$9,IF(A34=$B$10,$F$10,IF(AND('Simulador 7x5'!$AD$45=2,L33=0),D33*(1+Z34),IF($AN$3=2,B34*AK34,D33*(1+Z34))))))</f>
        <v>0</v>
      </c>
      <c r="E34" s="500"/>
      <c r="F34" s="500">
        <f t="shared" si="2"/>
        <v>0</v>
      </c>
      <c r="G34" s="500"/>
      <c r="H34" s="500">
        <f t="shared" si="14"/>
        <v>0</v>
      </c>
      <c r="I34" s="501"/>
      <c r="J34" s="505">
        <f>IF(B34-H34=0,0,J32)</f>
        <v>0</v>
      </c>
      <c r="K34" s="501"/>
      <c r="L34" s="502"/>
      <c r="M34" s="501"/>
      <c r="N34" s="500">
        <v>0</v>
      </c>
      <c r="O34" s="6"/>
      <c r="P34" s="457">
        <f t="shared" si="3"/>
        <v>0</v>
      </c>
      <c r="Q34" s="1"/>
      <c r="R34" s="500">
        <f t="shared" si="4"/>
        <v>0</v>
      </c>
      <c r="S34" s="500"/>
      <c r="T34" s="500">
        <f>IF(B34&lt;=0,0,B34*IF('Simulador 7x5'!$Y$81=1,0,'Simulador 7x5'!$U$75))</f>
        <v>0</v>
      </c>
      <c r="U34" s="500"/>
      <c r="V34" s="513">
        <f>IF(B34&lt;=0,0,IF('Simulador 7x5'!$T$41=1,'Simulador 7x5'!$E$55,'Simulador 7x5'!$G$55))</f>
        <v>0</v>
      </c>
      <c r="W34" s="500"/>
      <c r="X34" s="500">
        <f t="shared" si="5"/>
        <v>0</v>
      </c>
      <c r="Y34" s="7"/>
      <c r="Z34" s="9"/>
      <c r="AA34" s="3"/>
      <c r="AB34" s="2">
        <f t="shared" si="6"/>
        <v>0</v>
      </c>
      <c r="AC34" s="21">
        <f t="shared" si="7"/>
        <v>0</v>
      </c>
      <c r="AD34" s="380">
        <f t="shared" si="15"/>
        <v>0</v>
      </c>
      <c r="AE34" s="380">
        <f t="shared" si="16"/>
        <v>0</v>
      </c>
      <c r="AF34" s="381">
        <f t="shared" si="8"/>
        <v>0</v>
      </c>
      <c r="AG34" s="380">
        <f t="shared" si="17"/>
        <v>0</v>
      </c>
      <c r="AH34" s="380">
        <f t="shared" si="18"/>
        <v>0</v>
      </c>
      <c r="AI34" s="380">
        <f>IF(AD34&lt;=0,0,AD34*IF('Simulador 7x5'!$Y$81=1,0,'Simulador 7x5'!$U$75))+IF(AD34&lt;=0,0,IF('Simulador 7x5'!$T$41=1,'Simulador 7x5'!$E$55,'Simulador 7x5'!$G$55))</f>
        <v>0</v>
      </c>
      <c r="AJ34" s="380">
        <f t="shared" si="0"/>
        <v>0</v>
      </c>
      <c r="AK34" s="109">
        <f t="shared" si="9"/>
        <v>0</v>
      </c>
      <c r="AM34" s="2">
        <v>1</v>
      </c>
      <c r="AN34" s="2">
        <v>6</v>
      </c>
      <c r="AO34" s="329">
        <f t="shared" si="10"/>
        <v>0</v>
      </c>
      <c r="AP34" s="329">
        <f t="shared" si="11"/>
        <v>0</v>
      </c>
      <c r="AQ34" s="20">
        <f t="shared" si="12"/>
        <v>0</v>
      </c>
      <c r="AR34" s="36"/>
      <c r="AS34">
        <f t="shared" si="19"/>
        <v>0</v>
      </c>
      <c r="AT34" s="384">
        <f t="shared" si="20"/>
      </c>
      <c r="AU34" s="385">
        <f t="shared" si="13"/>
        <v>0</v>
      </c>
      <c r="AV34" s="36">
        <v>18</v>
      </c>
    </row>
    <row r="35" spans="1:48" ht="12.75">
      <c r="A35" s="443">
        <v>19</v>
      </c>
      <c r="B35" s="498">
        <f t="shared" si="1"/>
        <v>0</v>
      </c>
      <c r="C35" s="499"/>
      <c r="D35" s="498">
        <f>IF(B35+F35-D34&lt;=0,B35+F35,IF(A35=$B$9,$F$9,IF(A35=$B$10,$F$10,IF(AND('Simulador 7x5'!$AD$45=2,L34=0),D34*(1+Z35),IF($AN$3=2,B35*AK35,D34*(1+Z35))))))</f>
        <v>0</v>
      </c>
      <c r="E35" s="500"/>
      <c r="F35" s="500">
        <f t="shared" si="2"/>
        <v>0</v>
      </c>
      <c r="G35" s="500"/>
      <c r="H35" s="500">
        <f t="shared" si="14"/>
        <v>0</v>
      </c>
      <c r="I35" s="501"/>
      <c r="J35" s="506"/>
      <c r="K35" s="501"/>
      <c r="L35" s="502"/>
      <c r="M35" s="501"/>
      <c r="N35" s="500">
        <v>0</v>
      </c>
      <c r="O35" s="6"/>
      <c r="P35" s="457">
        <f t="shared" si="3"/>
        <v>0</v>
      </c>
      <c r="Q35" s="1"/>
      <c r="R35" s="500">
        <f t="shared" si="4"/>
        <v>0</v>
      </c>
      <c r="S35" s="500"/>
      <c r="T35" s="500">
        <f>IF(B35&lt;=0,0,B35*IF('Simulador 7x5'!$Y$81=1,0,'Simulador 7x5'!$U$75))</f>
        <v>0</v>
      </c>
      <c r="U35" s="500"/>
      <c r="V35" s="513">
        <f>IF(B35&lt;=0,0,IF('Simulador 7x5'!$T$41=1,'Simulador 7x5'!$E$55,'Simulador 7x5'!$G$55))</f>
        <v>0</v>
      </c>
      <c r="W35" s="500"/>
      <c r="X35" s="500">
        <f t="shared" si="5"/>
        <v>0</v>
      </c>
      <c r="Y35" s="7"/>
      <c r="Z35" s="9"/>
      <c r="AA35" s="16"/>
      <c r="AB35" s="2">
        <f t="shared" si="6"/>
        <v>0</v>
      </c>
      <c r="AC35" s="21">
        <f t="shared" si="7"/>
        <v>0</v>
      </c>
      <c r="AD35" s="380">
        <f t="shared" si="15"/>
        <v>0</v>
      </c>
      <c r="AE35" s="380">
        <f t="shared" si="16"/>
        <v>0</v>
      </c>
      <c r="AF35" s="381">
        <f t="shared" si="8"/>
        <v>0</v>
      </c>
      <c r="AG35" s="380">
        <f t="shared" si="17"/>
        <v>0</v>
      </c>
      <c r="AH35" s="380">
        <f t="shared" si="18"/>
        <v>0</v>
      </c>
      <c r="AI35" s="380">
        <f>IF(AD35&lt;=0,0,AD35*IF('Simulador 7x5'!$Y$81=1,0,'Simulador 7x5'!$U$75))+IF(AD35&lt;=0,0,IF('Simulador 7x5'!$T$41=1,'Simulador 7x5'!$E$55,'Simulador 7x5'!$G$55))</f>
        <v>0</v>
      </c>
      <c r="AJ35" s="380">
        <f t="shared" si="0"/>
        <v>0</v>
      </c>
      <c r="AK35" s="109">
        <f t="shared" si="9"/>
        <v>0</v>
      </c>
      <c r="AM35" s="2">
        <v>1</v>
      </c>
      <c r="AN35" s="2">
        <v>7</v>
      </c>
      <c r="AO35" s="329">
        <f t="shared" si="10"/>
        <v>0</v>
      </c>
      <c r="AP35" s="329">
        <f t="shared" si="11"/>
        <v>0</v>
      </c>
      <c r="AQ35" s="20">
        <f t="shared" si="12"/>
        <v>0</v>
      </c>
      <c r="AR35" s="36"/>
      <c r="AS35">
        <f t="shared" si="19"/>
        <v>0</v>
      </c>
      <c r="AT35" s="384">
        <f t="shared" si="20"/>
      </c>
      <c r="AU35" s="385">
        <f t="shared" si="13"/>
        <v>0</v>
      </c>
      <c r="AV35" s="36">
        <v>19</v>
      </c>
    </row>
    <row r="36" spans="1:48" ht="12.75">
      <c r="A36" s="443">
        <v>20</v>
      </c>
      <c r="B36" s="498">
        <f t="shared" si="1"/>
        <v>0</v>
      </c>
      <c r="C36" s="499"/>
      <c r="D36" s="498">
        <f>IF(B36+F36-D35&lt;=0,B36+F36,IF(A36=$B$9,$F$9,IF(A36=$B$10,$F$10,IF(AND('Simulador 7x5'!$AD$45=2,L35=0),D35*(1+Z36),IF($AN$3=2,B36*AK36,D35*(1+Z36))))))</f>
        <v>0</v>
      </c>
      <c r="E36" s="500"/>
      <c r="F36" s="500">
        <f t="shared" si="2"/>
        <v>0</v>
      </c>
      <c r="G36" s="500"/>
      <c r="H36" s="500">
        <f t="shared" si="14"/>
        <v>0</v>
      </c>
      <c r="I36" s="501"/>
      <c r="J36" s="505">
        <f>IF(B36-H36=0,0,J34)</f>
        <v>0</v>
      </c>
      <c r="K36" s="501"/>
      <c r="L36" s="502"/>
      <c r="M36" s="501"/>
      <c r="N36" s="500">
        <v>0</v>
      </c>
      <c r="O36" s="6"/>
      <c r="P36" s="457">
        <f t="shared" si="3"/>
        <v>0</v>
      </c>
      <c r="Q36" s="1"/>
      <c r="R36" s="500">
        <f t="shared" si="4"/>
        <v>0</v>
      </c>
      <c r="S36" s="500"/>
      <c r="T36" s="500">
        <f>IF(B36&lt;=0,0,B36*IF('Simulador 7x5'!$Y$81=1,0,'Simulador 7x5'!$U$75))</f>
        <v>0</v>
      </c>
      <c r="U36" s="500"/>
      <c r="V36" s="513">
        <f>IF(B36&lt;=0,0,IF('Simulador 7x5'!$T$41=1,'Simulador 7x5'!$E$55,'Simulador 7x5'!$G$55))</f>
        <v>0</v>
      </c>
      <c r="W36" s="500"/>
      <c r="X36" s="500">
        <f t="shared" si="5"/>
        <v>0</v>
      </c>
      <c r="Y36" s="7"/>
      <c r="Z36" s="9"/>
      <c r="AA36" s="16"/>
      <c r="AB36" s="2">
        <f t="shared" si="6"/>
        <v>0</v>
      </c>
      <c r="AC36" s="21">
        <f t="shared" si="7"/>
        <v>0</v>
      </c>
      <c r="AD36" s="380">
        <f t="shared" si="15"/>
        <v>0</v>
      </c>
      <c r="AE36" s="380">
        <f t="shared" si="16"/>
        <v>0</v>
      </c>
      <c r="AF36" s="381">
        <f t="shared" si="8"/>
        <v>0</v>
      </c>
      <c r="AG36" s="380">
        <f t="shared" si="17"/>
        <v>0</v>
      </c>
      <c r="AH36" s="380">
        <f t="shared" si="18"/>
        <v>0</v>
      </c>
      <c r="AI36" s="380">
        <f>IF(AD36&lt;=0,0,AD36*IF('Simulador 7x5'!$Y$81=1,0,'Simulador 7x5'!$U$75))+IF(AD36&lt;=0,0,IF('Simulador 7x5'!$T$41=1,'Simulador 7x5'!$E$55,'Simulador 7x5'!$G$55))</f>
        <v>0</v>
      </c>
      <c r="AJ36" s="380">
        <f t="shared" si="0"/>
        <v>0</v>
      </c>
      <c r="AK36" s="109">
        <f t="shared" si="9"/>
        <v>0</v>
      </c>
      <c r="AM36" s="2">
        <v>1</v>
      </c>
      <c r="AN36" s="2">
        <v>8</v>
      </c>
      <c r="AO36" s="329">
        <f t="shared" si="10"/>
        <v>0</v>
      </c>
      <c r="AP36" s="329">
        <f t="shared" si="11"/>
        <v>0</v>
      </c>
      <c r="AQ36" s="20">
        <f t="shared" si="12"/>
        <v>0</v>
      </c>
      <c r="AR36" s="36"/>
      <c r="AS36">
        <f t="shared" si="19"/>
        <v>0</v>
      </c>
      <c r="AT36" s="384">
        <f t="shared" si="20"/>
      </c>
      <c r="AU36" s="385">
        <f t="shared" si="13"/>
        <v>0</v>
      </c>
      <c r="AV36" s="36">
        <v>20</v>
      </c>
    </row>
    <row r="37" spans="1:48" ht="12.75">
      <c r="A37" s="443">
        <v>21</v>
      </c>
      <c r="B37" s="498">
        <f t="shared" si="1"/>
        <v>0</v>
      </c>
      <c r="C37" s="499"/>
      <c r="D37" s="498">
        <f>IF(B37+F37-D36&lt;=0,B37+F37,IF(A37=$B$9,$F$9,IF(A37=$B$10,$F$10,IF(AND('Simulador 7x5'!$AD$45=2,L36=0),D36*(1+Z37),IF($AN$3=2,B37*AK37,D36*(1+Z37))))))</f>
        <v>0</v>
      </c>
      <c r="E37" s="500"/>
      <c r="F37" s="500">
        <f t="shared" si="2"/>
        <v>0</v>
      </c>
      <c r="G37" s="500"/>
      <c r="H37" s="500">
        <f t="shared" si="14"/>
        <v>0</v>
      </c>
      <c r="I37" s="501"/>
      <c r="J37" s="506"/>
      <c r="K37" s="501"/>
      <c r="L37" s="502"/>
      <c r="M37" s="501"/>
      <c r="N37" s="500">
        <v>0</v>
      </c>
      <c r="O37" s="6"/>
      <c r="P37" s="457">
        <f t="shared" si="3"/>
        <v>0</v>
      </c>
      <c r="Q37" s="1"/>
      <c r="R37" s="500">
        <f t="shared" si="4"/>
        <v>0</v>
      </c>
      <c r="S37" s="500"/>
      <c r="T37" s="500">
        <f>IF(B37&lt;=0,0,B37*IF('Simulador 7x5'!$Y$81=1,0,'Simulador 7x5'!$U$75))</f>
        <v>0</v>
      </c>
      <c r="U37" s="500"/>
      <c r="V37" s="513">
        <f>IF(B37&lt;=0,0,IF('Simulador 7x5'!$T$41=1,'Simulador 7x5'!$E$55,'Simulador 7x5'!$G$55))</f>
        <v>0</v>
      </c>
      <c r="W37" s="500"/>
      <c r="X37" s="500">
        <f t="shared" si="5"/>
        <v>0</v>
      </c>
      <c r="Y37" s="7"/>
      <c r="Z37" s="9"/>
      <c r="AA37" s="17"/>
      <c r="AB37" s="2">
        <f t="shared" si="6"/>
        <v>0</v>
      </c>
      <c r="AC37" s="21">
        <f t="shared" si="7"/>
        <v>0</v>
      </c>
      <c r="AD37" s="380">
        <f t="shared" si="15"/>
        <v>0</v>
      </c>
      <c r="AE37" s="380">
        <f t="shared" si="16"/>
        <v>0</v>
      </c>
      <c r="AF37" s="381">
        <f t="shared" si="8"/>
        <v>0</v>
      </c>
      <c r="AG37" s="380">
        <f t="shared" si="17"/>
        <v>0</v>
      </c>
      <c r="AH37" s="380">
        <f t="shared" si="18"/>
        <v>0</v>
      </c>
      <c r="AI37" s="380">
        <f>IF(AD37&lt;=0,0,AD37*IF('Simulador 7x5'!$Y$81=1,0,'Simulador 7x5'!$U$75))+IF(AD37&lt;=0,0,IF('Simulador 7x5'!$T$41=1,'Simulador 7x5'!$E$55,'Simulador 7x5'!$G$55))</f>
        <v>0</v>
      </c>
      <c r="AJ37" s="380">
        <f t="shared" si="0"/>
        <v>0</v>
      </c>
      <c r="AK37" s="109">
        <f t="shared" si="9"/>
        <v>0</v>
      </c>
      <c r="AM37" s="2">
        <v>1</v>
      </c>
      <c r="AN37" s="140">
        <v>9</v>
      </c>
      <c r="AO37" s="329">
        <f t="shared" si="10"/>
        <v>0</v>
      </c>
      <c r="AP37" s="329">
        <f t="shared" si="11"/>
        <v>0</v>
      </c>
      <c r="AQ37" s="20">
        <f t="shared" si="12"/>
        <v>0</v>
      </c>
      <c r="AR37" s="36"/>
      <c r="AS37">
        <f t="shared" si="19"/>
        <v>0</v>
      </c>
      <c r="AT37" s="384">
        <f t="shared" si="20"/>
      </c>
      <c r="AU37" s="385">
        <f t="shared" si="13"/>
        <v>0</v>
      </c>
      <c r="AV37" s="36">
        <v>21</v>
      </c>
    </row>
    <row r="38" spans="1:48" ht="12.75">
      <c r="A38" s="443">
        <v>22</v>
      </c>
      <c r="B38" s="498">
        <f t="shared" si="1"/>
        <v>0</v>
      </c>
      <c r="C38" s="499"/>
      <c r="D38" s="498">
        <f>IF(B38+F38-D37&lt;=0,B38+F38,IF(A38=$B$9,$F$9,IF(A38=$B$10,$F$10,IF(AND('Simulador 7x5'!$AD$45=2,L37=0),D37*(1+Z38),IF($AN$3=2,B38*AK38,D37*(1+Z38))))))</f>
        <v>0</v>
      </c>
      <c r="E38" s="500"/>
      <c r="F38" s="500">
        <f t="shared" si="2"/>
        <v>0</v>
      </c>
      <c r="G38" s="500"/>
      <c r="H38" s="500">
        <f t="shared" si="14"/>
        <v>0</v>
      </c>
      <c r="I38" s="501"/>
      <c r="J38" s="505">
        <f>IF(B38-H38=0,0,J36)</f>
        <v>0</v>
      </c>
      <c r="K38" s="501"/>
      <c r="L38" s="502"/>
      <c r="M38" s="501"/>
      <c r="N38" s="500">
        <v>0</v>
      </c>
      <c r="O38" s="6"/>
      <c r="P38" s="457">
        <f t="shared" si="3"/>
        <v>0</v>
      </c>
      <c r="Q38" s="1"/>
      <c r="R38" s="500">
        <f t="shared" si="4"/>
        <v>0</v>
      </c>
      <c r="S38" s="500"/>
      <c r="T38" s="500">
        <f>IF(B38&lt;=0,0,B38*IF('Simulador 7x5'!$Y$81=1,0,'Simulador 7x5'!$U$75))</f>
        <v>0</v>
      </c>
      <c r="U38" s="500"/>
      <c r="V38" s="513">
        <f>IF(B38&lt;=0,0,IF('Simulador 7x5'!$T$41=1,'Simulador 7x5'!$E$55,'Simulador 7x5'!$G$55))</f>
        <v>0</v>
      </c>
      <c r="W38" s="500"/>
      <c r="X38" s="500">
        <f t="shared" si="5"/>
        <v>0</v>
      </c>
      <c r="Y38" s="7"/>
      <c r="Z38" s="9"/>
      <c r="AA38" s="17"/>
      <c r="AB38" s="2">
        <f t="shared" si="6"/>
        <v>0</v>
      </c>
      <c r="AC38" s="21">
        <f t="shared" si="7"/>
        <v>0</v>
      </c>
      <c r="AD38" s="380">
        <f t="shared" si="15"/>
        <v>0</v>
      </c>
      <c r="AE38" s="380">
        <f t="shared" si="16"/>
        <v>0</v>
      </c>
      <c r="AF38" s="381">
        <f t="shared" si="8"/>
        <v>0</v>
      </c>
      <c r="AG38" s="380">
        <f t="shared" si="17"/>
        <v>0</v>
      </c>
      <c r="AH38" s="380">
        <f t="shared" si="18"/>
        <v>0</v>
      </c>
      <c r="AI38" s="380">
        <f>IF(AD38&lt;=0,0,AD38*IF('Simulador 7x5'!$Y$81=1,0,'Simulador 7x5'!$U$75))+IF(AD38&lt;=0,0,IF('Simulador 7x5'!$T$41=1,'Simulador 7x5'!$E$55,'Simulador 7x5'!$G$55))</f>
        <v>0</v>
      </c>
      <c r="AJ38" s="380">
        <f t="shared" si="0"/>
        <v>0</v>
      </c>
      <c r="AK38" s="109">
        <f t="shared" si="9"/>
        <v>0</v>
      </c>
      <c r="AM38" s="2">
        <v>1</v>
      </c>
      <c r="AN38" s="140">
        <v>10</v>
      </c>
      <c r="AO38" s="329">
        <f t="shared" si="10"/>
        <v>0</v>
      </c>
      <c r="AP38" s="329">
        <f t="shared" si="11"/>
        <v>0</v>
      </c>
      <c r="AQ38" s="20">
        <f t="shared" si="12"/>
        <v>0</v>
      </c>
      <c r="AR38" s="36"/>
      <c r="AS38">
        <f t="shared" si="19"/>
        <v>0</v>
      </c>
      <c r="AT38" s="384">
        <f t="shared" si="20"/>
      </c>
      <c r="AU38" s="385">
        <f t="shared" si="13"/>
        <v>0</v>
      </c>
      <c r="AV38" s="36">
        <v>22</v>
      </c>
    </row>
    <row r="39" spans="1:48" ht="12.75">
      <c r="A39" s="443">
        <v>23</v>
      </c>
      <c r="B39" s="498">
        <f t="shared" si="1"/>
        <v>0</v>
      </c>
      <c r="C39" s="499"/>
      <c r="D39" s="498">
        <f>IF(B39+F39-D38&lt;=0,B39+F39,IF(A39=$B$9,$F$9,IF(A39=$B$10,$F$10,IF(AND('Simulador 7x5'!$AD$45=2,L38=0),D38*(1+Z39),IF($AN$3=2,B39*AK39,D38*(1+Z39))))))</f>
        <v>0</v>
      </c>
      <c r="E39" s="500"/>
      <c r="F39" s="500">
        <f t="shared" si="2"/>
        <v>0</v>
      </c>
      <c r="G39" s="500"/>
      <c r="H39" s="500">
        <f t="shared" si="14"/>
        <v>0</v>
      </c>
      <c r="I39" s="501"/>
      <c r="J39" s="506"/>
      <c r="K39" s="501"/>
      <c r="L39" s="502"/>
      <c r="M39" s="501"/>
      <c r="N39" s="500">
        <v>0</v>
      </c>
      <c r="O39" s="6"/>
      <c r="P39" s="457">
        <f t="shared" si="3"/>
        <v>0</v>
      </c>
      <c r="Q39" s="1"/>
      <c r="R39" s="500">
        <f t="shared" si="4"/>
        <v>0</v>
      </c>
      <c r="S39" s="500"/>
      <c r="T39" s="500">
        <f>IF(B39&lt;=0,0,B39*IF('Simulador 7x5'!$Y$81=1,0,'Simulador 7x5'!$U$75))</f>
        <v>0</v>
      </c>
      <c r="U39" s="500"/>
      <c r="V39" s="513">
        <f>IF(B39&lt;=0,0,IF('Simulador 7x5'!$T$41=1,'Simulador 7x5'!$E$55,'Simulador 7x5'!$G$55))</f>
        <v>0</v>
      </c>
      <c r="W39" s="500"/>
      <c r="X39" s="500">
        <f t="shared" si="5"/>
        <v>0</v>
      </c>
      <c r="Y39" s="7"/>
      <c r="Z39" s="9"/>
      <c r="AA39" s="17"/>
      <c r="AB39" s="2">
        <f t="shared" si="6"/>
        <v>0</v>
      </c>
      <c r="AC39" s="21">
        <f t="shared" si="7"/>
        <v>0</v>
      </c>
      <c r="AD39" s="380">
        <f t="shared" si="15"/>
        <v>0</v>
      </c>
      <c r="AE39" s="380">
        <f t="shared" si="16"/>
        <v>0</v>
      </c>
      <c r="AF39" s="381">
        <f t="shared" si="8"/>
        <v>0</v>
      </c>
      <c r="AG39" s="380">
        <f t="shared" si="17"/>
        <v>0</v>
      </c>
      <c r="AH39" s="380">
        <f t="shared" si="18"/>
        <v>0</v>
      </c>
      <c r="AI39" s="380">
        <f>IF(AD39&lt;=0,0,AD39*IF('Simulador 7x5'!$Y$81=1,0,'Simulador 7x5'!$U$75))+IF(AD39&lt;=0,0,IF('Simulador 7x5'!$T$41=1,'Simulador 7x5'!$E$55,'Simulador 7x5'!$G$55))</f>
        <v>0</v>
      </c>
      <c r="AJ39" s="380">
        <f t="shared" si="0"/>
        <v>0</v>
      </c>
      <c r="AK39" s="109">
        <f t="shared" si="9"/>
        <v>0</v>
      </c>
      <c r="AM39" s="2">
        <v>1</v>
      </c>
      <c r="AN39" s="2">
        <v>11</v>
      </c>
      <c r="AO39" s="329">
        <f t="shared" si="10"/>
        <v>0</v>
      </c>
      <c r="AP39" s="329">
        <f t="shared" si="11"/>
        <v>0</v>
      </c>
      <c r="AQ39" s="20">
        <f t="shared" si="12"/>
        <v>0</v>
      </c>
      <c r="AR39" s="36"/>
      <c r="AS39">
        <f t="shared" si="19"/>
        <v>0</v>
      </c>
      <c r="AT39" s="384">
        <f t="shared" si="20"/>
      </c>
      <c r="AU39" s="385">
        <f t="shared" si="13"/>
        <v>0</v>
      </c>
      <c r="AV39" s="36">
        <v>23</v>
      </c>
    </row>
    <row r="40" spans="1:48" ht="12.75">
      <c r="A40" s="443">
        <v>24</v>
      </c>
      <c r="B40" s="498">
        <f t="shared" si="1"/>
        <v>0</v>
      </c>
      <c r="C40" s="499"/>
      <c r="D40" s="498">
        <f>IF(B40+F40-D39&lt;=0,B40+F40,IF(A40=$B$9,$F$9,IF(A40=$B$10,$F$10,IF(AND('Simulador 7x5'!$AD$45=2,L39=0),D39*(1+Z40),IF($AN$3=2,B40*AK40,D39*(1+Z40))))))</f>
        <v>0</v>
      </c>
      <c r="E40" s="500"/>
      <c r="F40" s="500">
        <f t="shared" si="2"/>
        <v>0</v>
      </c>
      <c r="G40" s="500"/>
      <c r="H40" s="500">
        <f t="shared" si="14"/>
        <v>0</v>
      </c>
      <c r="I40" s="501"/>
      <c r="J40" s="505">
        <f>IF(B40-H40=0,0,J38)</f>
        <v>0</v>
      </c>
      <c r="K40" s="501"/>
      <c r="L40" s="502"/>
      <c r="M40" s="501"/>
      <c r="N40" s="500">
        <v>0</v>
      </c>
      <c r="O40" s="6"/>
      <c r="P40" s="457">
        <f t="shared" si="3"/>
        <v>0</v>
      </c>
      <c r="Q40" s="1"/>
      <c r="R40" s="500">
        <f t="shared" si="4"/>
        <v>0</v>
      </c>
      <c r="S40" s="500"/>
      <c r="T40" s="500">
        <f>IF(B40&lt;=0,0,B40*IF('Simulador 7x5'!$Y$81=1,0,'Simulador 7x5'!$U$75))</f>
        <v>0</v>
      </c>
      <c r="U40" s="500"/>
      <c r="V40" s="513">
        <f>IF(B40&lt;=0,0,IF('Simulador 7x5'!$T$41=1,'Simulador 7x5'!$E$55,'Simulador 7x5'!$G$55))</f>
        <v>0</v>
      </c>
      <c r="W40" s="500"/>
      <c r="X40" s="500">
        <f t="shared" si="5"/>
        <v>0</v>
      </c>
      <c r="Y40" s="7"/>
      <c r="Z40" s="12"/>
      <c r="AA40" s="17"/>
      <c r="AB40" s="2">
        <f t="shared" si="6"/>
        <v>0</v>
      </c>
      <c r="AC40" s="21">
        <f t="shared" si="7"/>
        <v>0</v>
      </c>
      <c r="AD40" s="380">
        <f t="shared" si="15"/>
        <v>0</v>
      </c>
      <c r="AE40" s="380">
        <f t="shared" si="16"/>
        <v>0</v>
      </c>
      <c r="AF40" s="381">
        <f t="shared" si="8"/>
        <v>0</v>
      </c>
      <c r="AG40" s="380">
        <f t="shared" si="17"/>
        <v>0</v>
      </c>
      <c r="AH40" s="380">
        <f t="shared" si="18"/>
        <v>0</v>
      </c>
      <c r="AI40" s="380">
        <f>IF(AD40&lt;=0,0,AD40*IF('Simulador 7x5'!$Y$81=1,0,'Simulador 7x5'!$U$75))+IF(AD40&lt;=0,0,IF('Simulador 7x5'!$T$41=1,'Simulador 7x5'!$E$55,'Simulador 7x5'!$G$55))</f>
        <v>0</v>
      </c>
      <c r="AJ40" s="380">
        <f t="shared" si="0"/>
        <v>0</v>
      </c>
      <c r="AK40" s="109">
        <f t="shared" si="9"/>
        <v>0</v>
      </c>
      <c r="AM40" s="141">
        <v>2</v>
      </c>
      <c r="AN40" s="2">
        <v>0</v>
      </c>
      <c r="AO40" s="329">
        <f t="shared" si="10"/>
        <v>0</v>
      </c>
      <c r="AP40" s="329">
        <f t="shared" si="11"/>
        <v>0</v>
      </c>
      <c r="AQ40" s="20">
        <f t="shared" si="12"/>
        <v>0</v>
      </c>
      <c r="AR40" s="36"/>
      <c r="AS40">
        <f t="shared" si="19"/>
        <v>0</v>
      </c>
      <c r="AT40" s="384">
        <f t="shared" si="20"/>
      </c>
      <c r="AU40" s="385">
        <f t="shared" si="13"/>
        <v>0</v>
      </c>
      <c r="AV40" s="36">
        <v>24</v>
      </c>
    </row>
    <row r="41" spans="1:48" ht="12.75">
      <c r="A41" s="443">
        <v>25</v>
      </c>
      <c r="B41" s="498">
        <f t="shared" si="1"/>
        <v>0</v>
      </c>
      <c r="C41" s="499"/>
      <c r="D41" s="498">
        <f>IF(B41+F41-D40&lt;=0,B41+F41,IF(A41=$B$9,$F$9,IF(A41=$B$10,$F$10,IF(AND('Simulador 7x5'!$AD$45=2,L40=0),D40*(1+Z41),IF($AN$3=2,B41*AK41,D40*(1+Z41))))))</f>
        <v>0</v>
      </c>
      <c r="E41" s="500"/>
      <c r="F41" s="500">
        <f t="shared" si="2"/>
        <v>0</v>
      </c>
      <c r="G41" s="500"/>
      <c r="H41" s="500">
        <f t="shared" si="14"/>
        <v>0</v>
      </c>
      <c r="I41" s="501"/>
      <c r="J41" s="506"/>
      <c r="K41" s="501"/>
      <c r="L41" s="502"/>
      <c r="M41" s="501"/>
      <c r="N41" s="500">
        <v>0</v>
      </c>
      <c r="O41" s="6"/>
      <c r="P41" s="457">
        <f t="shared" si="3"/>
        <v>0</v>
      </c>
      <c r="Q41" s="1"/>
      <c r="R41" s="500">
        <f t="shared" si="4"/>
        <v>0</v>
      </c>
      <c r="S41" s="500"/>
      <c r="T41" s="500">
        <f>IF(B41&lt;=0,0,B41*IF('Simulador 7x5'!$Y$81=1,0,'Simulador 7x5'!$U$75))</f>
        <v>0</v>
      </c>
      <c r="U41" s="500"/>
      <c r="V41" s="513">
        <f>IF(B41&lt;=0,0,IF('Simulador 7x5'!$T$41=1,'Simulador 7x5'!$E$55,'Simulador 7x5'!$G$55))</f>
        <v>0</v>
      </c>
      <c r="W41" s="500"/>
      <c r="X41" s="500">
        <f t="shared" si="5"/>
        <v>0</v>
      </c>
      <c r="Y41" s="7"/>
      <c r="Z41" s="12">
        <f>IF(B41&lt;=0,0,'Simulador 7x5'!$AE$54)</f>
        <v>0</v>
      </c>
      <c r="AA41" s="17"/>
      <c r="AB41" s="2">
        <f t="shared" si="6"/>
        <v>0</v>
      </c>
      <c r="AC41" s="21">
        <f t="shared" si="7"/>
        <v>0</v>
      </c>
      <c r="AD41" s="380">
        <f t="shared" si="15"/>
        <v>0</v>
      </c>
      <c r="AE41" s="380">
        <f t="shared" si="16"/>
        <v>0</v>
      </c>
      <c r="AF41" s="381">
        <f t="shared" si="8"/>
        <v>0</v>
      </c>
      <c r="AG41" s="380">
        <f t="shared" si="17"/>
        <v>0</v>
      </c>
      <c r="AH41" s="380">
        <f t="shared" si="18"/>
        <v>0</v>
      </c>
      <c r="AI41" s="380">
        <f>IF(AD41&lt;=0,0,AD41*IF('Simulador 7x5'!$Y$81=1,0,'Simulador 7x5'!$U$75))+IF(AD41&lt;=0,0,IF('Simulador 7x5'!$T$41=1,'Simulador 7x5'!$E$55,'Simulador 7x5'!$G$55))</f>
        <v>0</v>
      </c>
      <c r="AJ41" s="380">
        <f t="shared" si="0"/>
        <v>0</v>
      </c>
      <c r="AK41" s="109">
        <f t="shared" si="9"/>
        <v>0</v>
      </c>
      <c r="AM41" s="141">
        <v>2</v>
      </c>
      <c r="AN41" s="2">
        <v>1</v>
      </c>
      <c r="AO41" s="329">
        <f t="shared" si="10"/>
        <v>0</v>
      </c>
      <c r="AP41" s="329">
        <f t="shared" si="11"/>
        <v>0</v>
      </c>
      <c r="AQ41" s="20">
        <f t="shared" si="12"/>
        <v>0</v>
      </c>
      <c r="AR41" s="36"/>
      <c r="AS41">
        <f t="shared" si="19"/>
        <v>0</v>
      </c>
      <c r="AT41" s="384">
        <f t="shared" si="20"/>
      </c>
      <c r="AU41" s="385">
        <f t="shared" si="13"/>
        <v>0</v>
      </c>
      <c r="AV41" s="36">
        <v>25</v>
      </c>
    </row>
    <row r="42" spans="1:48" ht="12.75">
      <c r="A42" s="443">
        <v>26</v>
      </c>
      <c r="B42" s="498">
        <f t="shared" si="1"/>
        <v>0</v>
      </c>
      <c r="C42" s="499"/>
      <c r="D42" s="498">
        <f>IF(B42+F42-D41&lt;=0,B42+F42,IF(A42=$B$9,$F$9,IF(A42=$B$10,$F$10,IF(AND('Simulador 7x5'!$AD$45=2,L41=0),D41*(1+Z42),IF($AN$3=2,B42*AK42,D41*(1+Z42))))))</f>
        <v>0</v>
      </c>
      <c r="E42" s="500"/>
      <c r="F42" s="500">
        <f t="shared" si="2"/>
        <v>0</v>
      </c>
      <c r="G42" s="500"/>
      <c r="H42" s="500">
        <f t="shared" si="14"/>
        <v>0</v>
      </c>
      <c r="I42" s="501"/>
      <c r="J42" s="505">
        <f>IF(B42-H42=0,0,J40*(1+(3%)))</f>
        <v>0</v>
      </c>
      <c r="K42" s="501"/>
      <c r="L42" s="502"/>
      <c r="M42" s="501"/>
      <c r="N42" s="500">
        <v>0</v>
      </c>
      <c r="O42" s="6"/>
      <c r="P42" s="457">
        <f t="shared" si="3"/>
        <v>0</v>
      </c>
      <c r="Q42" s="1"/>
      <c r="R42" s="500">
        <f t="shared" si="4"/>
        <v>0</v>
      </c>
      <c r="S42" s="500"/>
      <c r="T42" s="500">
        <f>IF(B42&lt;=0,0,B42*IF('Simulador 7x5'!$Y$81=1,0,'Simulador 7x5'!$U$75))</f>
        <v>0</v>
      </c>
      <c r="U42" s="500"/>
      <c r="V42" s="513">
        <f>IF(B42&lt;=0,0,IF('Simulador 7x5'!$T$41=1,'Simulador 7x5'!$E$55,'Simulador 7x5'!$G$55))</f>
        <v>0</v>
      </c>
      <c r="W42" s="500"/>
      <c r="X42" s="500">
        <f t="shared" si="5"/>
        <v>0</v>
      </c>
      <c r="Y42" s="7"/>
      <c r="Z42" s="12"/>
      <c r="AA42" s="17"/>
      <c r="AB42" s="2">
        <f t="shared" si="6"/>
        <v>0</v>
      </c>
      <c r="AC42" s="21">
        <f t="shared" si="7"/>
        <v>0</v>
      </c>
      <c r="AD42" s="380">
        <f t="shared" si="15"/>
        <v>0</v>
      </c>
      <c r="AE42" s="380">
        <f t="shared" si="16"/>
        <v>0</v>
      </c>
      <c r="AF42" s="381">
        <f t="shared" si="8"/>
        <v>0</v>
      </c>
      <c r="AG42" s="380">
        <f t="shared" si="17"/>
        <v>0</v>
      </c>
      <c r="AH42" s="380">
        <f t="shared" si="18"/>
        <v>0</v>
      </c>
      <c r="AI42" s="380">
        <f>IF(AD42&lt;=0,0,AD42*IF('Simulador 7x5'!$Y$81=1,0,'Simulador 7x5'!$U$75))+IF(AD42&lt;=0,0,IF('Simulador 7x5'!$T$41=1,'Simulador 7x5'!$E$55,'Simulador 7x5'!$G$55))</f>
        <v>0</v>
      </c>
      <c r="AJ42" s="380">
        <f t="shared" si="0"/>
        <v>0</v>
      </c>
      <c r="AK42" s="109">
        <f t="shared" si="9"/>
        <v>0</v>
      </c>
      <c r="AM42" s="141">
        <v>2</v>
      </c>
      <c r="AN42" s="139">
        <v>2</v>
      </c>
      <c r="AO42" s="329">
        <f t="shared" si="10"/>
        <v>0</v>
      </c>
      <c r="AP42" s="329">
        <f t="shared" si="11"/>
        <v>0</v>
      </c>
      <c r="AQ42" s="20">
        <f t="shared" si="12"/>
        <v>0</v>
      </c>
      <c r="AR42" s="36"/>
      <c r="AS42">
        <f t="shared" si="19"/>
        <v>0</v>
      </c>
      <c r="AT42" s="384">
        <f t="shared" si="20"/>
      </c>
      <c r="AU42" s="385">
        <f t="shared" si="13"/>
        <v>0</v>
      </c>
      <c r="AV42" s="36">
        <v>26</v>
      </c>
    </row>
    <row r="43" spans="1:48" ht="12.75">
      <c r="A43" s="443">
        <v>27</v>
      </c>
      <c r="B43" s="498">
        <f t="shared" si="1"/>
        <v>0</v>
      </c>
      <c r="C43" s="499"/>
      <c r="D43" s="498">
        <f>IF(B43+F43-D42&lt;=0,B43+F43,IF(A43=$B$9,$F$9,IF(A43=$B$10,$F$10,IF(AND('Simulador 7x5'!$AD$45=2,L42=0),D42*(1+Z43),IF($AN$3=2,B43*AK43,D42*(1+Z43))))))</f>
        <v>0</v>
      </c>
      <c r="E43" s="500"/>
      <c r="F43" s="500">
        <f t="shared" si="2"/>
        <v>0</v>
      </c>
      <c r="G43" s="500"/>
      <c r="H43" s="500">
        <f t="shared" si="14"/>
        <v>0</v>
      </c>
      <c r="I43" s="501"/>
      <c r="J43" s="506"/>
      <c r="K43" s="501"/>
      <c r="L43" s="502"/>
      <c r="M43" s="501"/>
      <c r="N43" s="500">
        <v>0</v>
      </c>
      <c r="O43" s="6"/>
      <c r="P43" s="457">
        <f t="shared" si="3"/>
        <v>0</v>
      </c>
      <c r="Q43" s="1"/>
      <c r="R43" s="500">
        <f t="shared" si="4"/>
        <v>0</v>
      </c>
      <c r="S43" s="500"/>
      <c r="T43" s="500">
        <f>IF(B43&lt;=0,0,B43*IF('Simulador 7x5'!$Y$81=1,0,'Simulador 7x5'!$U$75))</f>
        <v>0</v>
      </c>
      <c r="U43" s="500"/>
      <c r="V43" s="513">
        <f>IF(B43&lt;=0,0,IF('Simulador 7x5'!$T$41=1,'Simulador 7x5'!$E$55,'Simulador 7x5'!$G$55))</f>
        <v>0</v>
      </c>
      <c r="W43" s="500"/>
      <c r="X43" s="500">
        <f t="shared" si="5"/>
        <v>0</v>
      </c>
      <c r="Y43" s="7"/>
      <c r="Z43" s="12"/>
      <c r="AA43" s="17"/>
      <c r="AB43" s="2">
        <f t="shared" si="6"/>
        <v>0</v>
      </c>
      <c r="AC43" s="21">
        <f t="shared" si="7"/>
        <v>0</v>
      </c>
      <c r="AD43" s="380">
        <f t="shared" si="15"/>
        <v>0</v>
      </c>
      <c r="AE43" s="380">
        <f t="shared" si="16"/>
        <v>0</v>
      </c>
      <c r="AF43" s="381">
        <f t="shared" si="8"/>
        <v>0</v>
      </c>
      <c r="AG43" s="380">
        <f t="shared" si="17"/>
        <v>0</v>
      </c>
      <c r="AH43" s="380">
        <f t="shared" si="18"/>
        <v>0</v>
      </c>
      <c r="AI43" s="380">
        <f>IF(AD43&lt;=0,0,AD43*IF('Simulador 7x5'!$Y$81=1,0,'Simulador 7x5'!$U$75))+IF(AD43&lt;=0,0,IF('Simulador 7x5'!$T$41=1,'Simulador 7x5'!$E$55,'Simulador 7x5'!$G$55))</f>
        <v>0</v>
      </c>
      <c r="AJ43" s="380">
        <f t="shared" si="0"/>
        <v>0</v>
      </c>
      <c r="AK43" s="109">
        <f t="shared" si="9"/>
        <v>0</v>
      </c>
      <c r="AM43" s="141">
        <v>2</v>
      </c>
      <c r="AN43" s="139">
        <v>3</v>
      </c>
      <c r="AO43" s="329">
        <f t="shared" si="10"/>
        <v>0</v>
      </c>
      <c r="AP43" s="329">
        <f t="shared" si="11"/>
        <v>0</v>
      </c>
      <c r="AQ43" s="20">
        <f t="shared" si="12"/>
        <v>0</v>
      </c>
      <c r="AR43" s="36"/>
      <c r="AS43">
        <f t="shared" si="19"/>
        <v>0</v>
      </c>
      <c r="AT43" s="384">
        <f t="shared" si="20"/>
      </c>
      <c r="AU43" s="385">
        <f t="shared" si="13"/>
        <v>0</v>
      </c>
      <c r="AV43" s="36">
        <v>27</v>
      </c>
    </row>
    <row r="44" spans="1:48" ht="12.75">
      <c r="A44" s="443">
        <v>28</v>
      </c>
      <c r="B44" s="498">
        <f t="shared" si="1"/>
        <v>0</v>
      </c>
      <c r="C44" s="499"/>
      <c r="D44" s="498">
        <f>IF(B44+F44-D43&lt;=0,B44+F44,IF(A44=$B$9,$F$9,IF(A44=$B$10,$F$10,IF(AND('Simulador 7x5'!$AD$45=2,L43=0),D43*(1+Z44),IF($AN$3=2,B44*AK44,D43*(1+Z44))))))</f>
        <v>0</v>
      </c>
      <c r="E44" s="500"/>
      <c r="F44" s="500">
        <f t="shared" si="2"/>
        <v>0</v>
      </c>
      <c r="G44" s="500"/>
      <c r="H44" s="500">
        <f t="shared" si="14"/>
        <v>0</v>
      </c>
      <c r="I44" s="501"/>
      <c r="J44" s="505">
        <f>IF(B44-H44=0,0,J42)</f>
        <v>0</v>
      </c>
      <c r="K44" s="501"/>
      <c r="L44" s="502"/>
      <c r="M44" s="501"/>
      <c r="N44" s="500">
        <v>0</v>
      </c>
      <c r="O44" s="6"/>
      <c r="P44" s="457">
        <f t="shared" si="3"/>
        <v>0</v>
      </c>
      <c r="Q44" s="1"/>
      <c r="R44" s="500">
        <f t="shared" si="4"/>
        <v>0</v>
      </c>
      <c r="S44" s="500"/>
      <c r="T44" s="500">
        <f>IF(B44&lt;=0,0,B44*IF('Simulador 7x5'!$Y$81=1,0,'Simulador 7x5'!$U$75))</f>
        <v>0</v>
      </c>
      <c r="U44" s="500"/>
      <c r="V44" s="513">
        <f>IF(B44&lt;=0,0,IF('Simulador 7x5'!$T$41=1,'Simulador 7x5'!$E$55,'Simulador 7x5'!$G$55))</f>
        <v>0</v>
      </c>
      <c r="W44" s="500"/>
      <c r="X44" s="500">
        <f t="shared" si="5"/>
        <v>0</v>
      </c>
      <c r="Y44" s="7"/>
      <c r="Z44" s="12"/>
      <c r="AA44" s="17"/>
      <c r="AB44" s="2">
        <f t="shared" si="6"/>
        <v>0</v>
      </c>
      <c r="AC44" s="21">
        <f t="shared" si="7"/>
        <v>0</v>
      </c>
      <c r="AD44" s="380">
        <f t="shared" si="15"/>
        <v>0</v>
      </c>
      <c r="AE44" s="380">
        <f t="shared" si="16"/>
        <v>0</v>
      </c>
      <c r="AF44" s="381">
        <f t="shared" si="8"/>
        <v>0</v>
      </c>
      <c r="AG44" s="380">
        <f t="shared" si="17"/>
        <v>0</v>
      </c>
      <c r="AH44" s="380">
        <f t="shared" si="18"/>
        <v>0</v>
      </c>
      <c r="AI44" s="380">
        <f>IF(AD44&lt;=0,0,AD44*IF('Simulador 7x5'!$Y$81=1,0,'Simulador 7x5'!$U$75))+IF(AD44&lt;=0,0,IF('Simulador 7x5'!$T$41=1,'Simulador 7x5'!$E$55,'Simulador 7x5'!$G$55))</f>
        <v>0</v>
      </c>
      <c r="AJ44" s="380">
        <f t="shared" si="0"/>
        <v>0</v>
      </c>
      <c r="AK44" s="109">
        <f t="shared" si="9"/>
        <v>0</v>
      </c>
      <c r="AM44" s="141">
        <v>2</v>
      </c>
      <c r="AN44" s="2">
        <v>4</v>
      </c>
      <c r="AO44" s="329">
        <f t="shared" si="10"/>
        <v>0</v>
      </c>
      <c r="AP44" s="329">
        <f t="shared" si="11"/>
        <v>0</v>
      </c>
      <c r="AQ44" s="20">
        <f t="shared" si="12"/>
        <v>0</v>
      </c>
      <c r="AR44" s="36"/>
      <c r="AS44">
        <f t="shared" si="19"/>
        <v>0</v>
      </c>
      <c r="AT44" s="384">
        <f t="shared" si="20"/>
      </c>
      <c r="AU44" s="385">
        <f t="shared" si="13"/>
        <v>0</v>
      </c>
      <c r="AV44" s="36">
        <v>28</v>
      </c>
    </row>
    <row r="45" spans="1:48" ht="12.75">
      <c r="A45" s="443">
        <v>29</v>
      </c>
      <c r="B45" s="498">
        <f t="shared" si="1"/>
        <v>0</v>
      </c>
      <c r="C45" s="499"/>
      <c r="D45" s="498">
        <f>IF(B45+F45-D44&lt;=0,B45+F45,IF(A45=$B$9,$F$9,IF(A45=$B$10,$F$10,IF(AND('Simulador 7x5'!$AD$45=2,L44=0),D44*(1+Z45),IF($AN$3=2,B45*AK45,D44*(1+Z45))))))</f>
        <v>0</v>
      </c>
      <c r="E45" s="500"/>
      <c r="F45" s="500">
        <f t="shared" si="2"/>
        <v>0</v>
      </c>
      <c r="G45" s="500"/>
      <c r="H45" s="500">
        <f t="shared" si="14"/>
        <v>0</v>
      </c>
      <c r="I45" s="501"/>
      <c r="J45" s="506"/>
      <c r="K45" s="501"/>
      <c r="L45" s="502"/>
      <c r="M45" s="501"/>
      <c r="N45" s="500">
        <v>0</v>
      </c>
      <c r="O45" s="6"/>
      <c r="P45" s="457">
        <f t="shared" si="3"/>
        <v>0</v>
      </c>
      <c r="Q45" s="1"/>
      <c r="R45" s="500">
        <f t="shared" si="4"/>
        <v>0</v>
      </c>
      <c r="S45" s="500"/>
      <c r="T45" s="500">
        <f>IF(B45&lt;=0,0,B45*IF('Simulador 7x5'!$Y$81=1,0,'Simulador 7x5'!$U$75))</f>
        <v>0</v>
      </c>
      <c r="U45" s="500"/>
      <c r="V45" s="513">
        <f>IF(B45&lt;=0,0,IF('Simulador 7x5'!$T$41=1,'Simulador 7x5'!$E$55,'Simulador 7x5'!$G$55))</f>
        <v>0</v>
      </c>
      <c r="W45" s="500"/>
      <c r="X45" s="500">
        <f t="shared" si="5"/>
        <v>0</v>
      </c>
      <c r="Y45" s="7"/>
      <c r="Z45" s="12"/>
      <c r="AA45" s="17"/>
      <c r="AB45" s="2">
        <f t="shared" si="6"/>
        <v>0</v>
      </c>
      <c r="AC45" s="21">
        <f t="shared" si="7"/>
        <v>0</v>
      </c>
      <c r="AD45" s="380">
        <f t="shared" si="15"/>
        <v>0</v>
      </c>
      <c r="AE45" s="380">
        <f t="shared" si="16"/>
        <v>0</v>
      </c>
      <c r="AF45" s="381">
        <f t="shared" si="8"/>
        <v>0</v>
      </c>
      <c r="AG45" s="380">
        <f t="shared" si="17"/>
        <v>0</v>
      </c>
      <c r="AH45" s="380">
        <f t="shared" si="18"/>
        <v>0</v>
      </c>
      <c r="AI45" s="380">
        <f>IF(AD45&lt;=0,0,AD45*IF('Simulador 7x5'!$Y$81=1,0,'Simulador 7x5'!$U$75))+IF(AD45&lt;=0,0,IF('Simulador 7x5'!$T$41=1,'Simulador 7x5'!$E$55,'Simulador 7x5'!$G$55))</f>
        <v>0</v>
      </c>
      <c r="AJ45" s="380">
        <f t="shared" si="0"/>
        <v>0</v>
      </c>
      <c r="AK45" s="109">
        <f t="shared" si="9"/>
        <v>0</v>
      </c>
      <c r="AM45" s="141">
        <v>2</v>
      </c>
      <c r="AN45" s="2">
        <v>5</v>
      </c>
      <c r="AO45" s="329">
        <f t="shared" si="10"/>
        <v>0</v>
      </c>
      <c r="AP45" s="329">
        <f t="shared" si="11"/>
        <v>0</v>
      </c>
      <c r="AQ45" s="20">
        <f t="shared" si="12"/>
        <v>0</v>
      </c>
      <c r="AR45" s="36"/>
      <c r="AS45">
        <f t="shared" si="19"/>
        <v>0</v>
      </c>
      <c r="AT45" s="384">
        <f t="shared" si="20"/>
      </c>
      <c r="AU45" s="385">
        <f t="shared" si="13"/>
        <v>0</v>
      </c>
      <c r="AV45" s="36">
        <v>29</v>
      </c>
    </row>
    <row r="46" spans="1:48" ht="12.75">
      <c r="A46" s="443">
        <v>30</v>
      </c>
      <c r="B46" s="498">
        <f t="shared" si="1"/>
        <v>0</v>
      </c>
      <c r="C46" s="499"/>
      <c r="D46" s="498">
        <f>IF(B46+F46-D45&lt;=0,B46+F46,IF(A46=$B$9,$F$9,IF(A46=$B$10,$F$10,IF(AND('Simulador 7x5'!$AD$45=2,L45=0),D45*(1+Z46),IF($AN$3=2,B46*AK46,D45*(1+Z46))))))</f>
        <v>0</v>
      </c>
      <c r="E46" s="500"/>
      <c r="F46" s="500">
        <f t="shared" si="2"/>
        <v>0</v>
      </c>
      <c r="G46" s="500"/>
      <c r="H46" s="500">
        <f t="shared" si="14"/>
        <v>0</v>
      </c>
      <c r="I46" s="501"/>
      <c r="J46" s="505">
        <f>IF(B46-H46=0,0,J44)</f>
        <v>0</v>
      </c>
      <c r="K46" s="501"/>
      <c r="L46" s="502"/>
      <c r="M46" s="501"/>
      <c r="N46" s="500">
        <v>0</v>
      </c>
      <c r="O46" s="6"/>
      <c r="P46" s="457">
        <f t="shared" si="3"/>
        <v>0</v>
      </c>
      <c r="Q46" s="1"/>
      <c r="R46" s="500">
        <f t="shared" si="4"/>
        <v>0</v>
      </c>
      <c r="S46" s="500"/>
      <c r="T46" s="500">
        <f>IF(B46&lt;=0,0,B46*IF('Simulador 7x5'!$Y$81=1,0,'Simulador 7x5'!$U$75))</f>
        <v>0</v>
      </c>
      <c r="U46" s="500"/>
      <c r="V46" s="513">
        <f>IF(B46&lt;=0,0,IF('Simulador 7x5'!$T$41=1,'Simulador 7x5'!$E$55,'Simulador 7x5'!$G$55))</f>
        <v>0</v>
      </c>
      <c r="W46" s="500"/>
      <c r="X46" s="500">
        <f t="shared" si="5"/>
        <v>0</v>
      </c>
      <c r="Y46" s="7"/>
      <c r="Z46" s="12"/>
      <c r="AA46" s="17"/>
      <c r="AB46" s="2">
        <f t="shared" si="6"/>
        <v>0</v>
      </c>
      <c r="AC46" s="21">
        <f t="shared" si="7"/>
        <v>0</v>
      </c>
      <c r="AD46" s="380">
        <f t="shared" si="15"/>
        <v>0</v>
      </c>
      <c r="AE46" s="380">
        <f t="shared" si="16"/>
        <v>0</v>
      </c>
      <c r="AF46" s="381">
        <f t="shared" si="8"/>
        <v>0</v>
      </c>
      <c r="AG46" s="380">
        <f t="shared" si="17"/>
        <v>0</v>
      </c>
      <c r="AH46" s="380">
        <f t="shared" si="18"/>
        <v>0</v>
      </c>
      <c r="AI46" s="380">
        <f>IF(AD46&lt;=0,0,AD46*IF('Simulador 7x5'!$Y$81=1,0,'Simulador 7x5'!$U$75))+IF(AD46&lt;=0,0,IF('Simulador 7x5'!$T$41=1,'Simulador 7x5'!$E$55,'Simulador 7x5'!$G$55))</f>
        <v>0</v>
      </c>
      <c r="AJ46" s="380">
        <f t="shared" si="0"/>
        <v>0</v>
      </c>
      <c r="AK46" s="109">
        <f t="shared" si="9"/>
        <v>0</v>
      </c>
      <c r="AM46" s="141">
        <v>2</v>
      </c>
      <c r="AN46" s="2">
        <v>6</v>
      </c>
      <c r="AO46" s="329">
        <f t="shared" si="10"/>
        <v>0</v>
      </c>
      <c r="AP46" s="329">
        <f t="shared" si="11"/>
        <v>0</v>
      </c>
      <c r="AQ46" s="20">
        <f t="shared" si="12"/>
        <v>0</v>
      </c>
      <c r="AR46" s="36"/>
      <c r="AS46">
        <f t="shared" si="19"/>
        <v>0</v>
      </c>
      <c r="AT46" s="384">
        <f t="shared" si="20"/>
      </c>
      <c r="AU46" s="385">
        <f t="shared" si="13"/>
        <v>0</v>
      </c>
      <c r="AV46" s="36">
        <v>30</v>
      </c>
    </row>
    <row r="47" spans="1:48" ht="12.75">
      <c r="A47" s="443">
        <v>31</v>
      </c>
      <c r="B47" s="498">
        <f t="shared" si="1"/>
        <v>0</v>
      </c>
      <c r="C47" s="499"/>
      <c r="D47" s="498">
        <f>IF(B47+F47-D46&lt;=0,B47+F47,IF(A47=$B$9,$F$9,IF(A47=$B$10,$F$10,IF(AND('Simulador 7x5'!$AD$45=2,L46=0),D46*(1+Z47),IF($AN$3=2,B47*AK47,D46*(1+Z47))))))</f>
        <v>0</v>
      </c>
      <c r="E47" s="500"/>
      <c r="F47" s="500">
        <f t="shared" si="2"/>
        <v>0</v>
      </c>
      <c r="G47" s="500"/>
      <c r="H47" s="500">
        <f t="shared" si="14"/>
        <v>0</v>
      </c>
      <c r="I47" s="501"/>
      <c r="J47" s="506"/>
      <c r="K47" s="501"/>
      <c r="L47" s="502"/>
      <c r="M47" s="501"/>
      <c r="N47" s="500">
        <v>0</v>
      </c>
      <c r="O47" s="6"/>
      <c r="P47" s="457">
        <f t="shared" si="3"/>
        <v>0</v>
      </c>
      <c r="Q47" s="1"/>
      <c r="R47" s="500">
        <f t="shared" si="4"/>
        <v>0</v>
      </c>
      <c r="S47" s="500"/>
      <c r="T47" s="500">
        <f>IF(B47&lt;=0,0,B47*IF('Simulador 7x5'!$Y$81=1,0,'Simulador 7x5'!$U$75))</f>
        <v>0</v>
      </c>
      <c r="U47" s="500"/>
      <c r="V47" s="513">
        <f>IF(B47&lt;=0,0,IF('Simulador 7x5'!$T$41=1,'Simulador 7x5'!$E$55,'Simulador 7x5'!$G$55))</f>
        <v>0</v>
      </c>
      <c r="W47" s="500"/>
      <c r="X47" s="500">
        <f t="shared" si="5"/>
        <v>0</v>
      </c>
      <c r="Y47" s="7"/>
      <c r="Z47" s="12"/>
      <c r="AA47" s="17"/>
      <c r="AB47" s="2">
        <f t="shared" si="6"/>
        <v>0</v>
      </c>
      <c r="AC47" s="21">
        <f t="shared" si="7"/>
        <v>0</v>
      </c>
      <c r="AD47" s="380">
        <f t="shared" si="15"/>
        <v>0</v>
      </c>
      <c r="AE47" s="380">
        <f t="shared" si="16"/>
        <v>0</v>
      </c>
      <c r="AF47" s="381">
        <f t="shared" si="8"/>
        <v>0</v>
      </c>
      <c r="AG47" s="380">
        <f t="shared" si="17"/>
        <v>0</v>
      </c>
      <c r="AH47" s="380">
        <f t="shared" si="18"/>
        <v>0</v>
      </c>
      <c r="AI47" s="380">
        <f>IF(AD47&lt;=0,0,AD47*IF('Simulador 7x5'!$Y$81=1,0,'Simulador 7x5'!$U$75))+IF(AD47&lt;=0,0,IF('Simulador 7x5'!$T$41=1,'Simulador 7x5'!$E$55,'Simulador 7x5'!$G$55))</f>
        <v>0</v>
      </c>
      <c r="AJ47" s="380">
        <f t="shared" si="0"/>
        <v>0</v>
      </c>
      <c r="AK47" s="109">
        <f t="shared" si="9"/>
        <v>0</v>
      </c>
      <c r="AM47" s="141">
        <v>2</v>
      </c>
      <c r="AN47" s="2">
        <v>7</v>
      </c>
      <c r="AO47" s="329">
        <f t="shared" si="10"/>
        <v>0</v>
      </c>
      <c r="AP47" s="329">
        <f t="shared" si="11"/>
        <v>0</v>
      </c>
      <c r="AQ47" s="20">
        <f t="shared" si="12"/>
        <v>0</v>
      </c>
      <c r="AR47" s="36"/>
      <c r="AS47">
        <f t="shared" si="19"/>
        <v>0</v>
      </c>
      <c r="AT47" s="384">
        <f t="shared" si="20"/>
      </c>
      <c r="AU47" s="385">
        <f t="shared" si="13"/>
        <v>0</v>
      </c>
      <c r="AV47" s="36">
        <v>31</v>
      </c>
    </row>
    <row r="48" spans="1:48" ht="12.75">
      <c r="A48" s="443">
        <v>32</v>
      </c>
      <c r="B48" s="498">
        <f t="shared" si="1"/>
        <v>0</v>
      </c>
      <c r="C48" s="499"/>
      <c r="D48" s="498">
        <f>IF(B48+F48-D47&lt;=0,B48+F48,IF(A48=$B$9,$F$9,IF(A48=$B$10,$F$10,IF(AND('Simulador 7x5'!$AD$45=2,L47=0),D47*(1+Z48),IF($AN$3=2,B48*AK48,D47*(1+Z48))))))</f>
        <v>0</v>
      </c>
      <c r="E48" s="500"/>
      <c r="F48" s="500">
        <f t="shared" si="2"/>
        <v>0</v>
      </c>
      <c r="G48" s="500"/>
      <c r="H48" s="500">
        <f t="shared" si="14"/>
        <v>0</v>
      </c>
      <c r="I48" s="501"/>
      <c r="J48" s="505">
        <f>IF(B48-H48=0,0,J46)</f>
        <v>0</v>
      </c>
      <c r="K48" s="501"/>
      <c r="L48" s="502"/>
      <c r="M48" s="501"/>
      <c r="N48" s="500">
        <v>0</v>
      </c>
      <c r="O48" s="6"/>
      <c r="P48" s="457">
        <f t="shared" si="3"/>
        <v>0</v>
      </c>
      <c r="Q48" s="1"/>
      <c r="R48" s="500">
        <f t="shared" si="4"/>
        <v>0</v>
      </c>
      <c r="S48" s="500"/>
      <c r="T48" s="500">
        <f>IF(B48&lt;=0,0,B48*IF('Simulador 7x5'!$Y$81=1,0,'Simulador 7x5'!$U$75))</f>
        <v>0</v>
      </c>
      <c r="U48" s="500"/>
      <c r="V48" s="513">
        <f>IF(B48&lt;=0,0,IF('Simulador 7x5'!$T$41=1,'Simulador 7x5'!$E$55,'Simulador 7x5'!$G$55))</f>
        <v>0</v>
      </c>
      <c r="W48" s="500"/>
      <c r="X48" s="500">
        <f t="shared" si="5"/>
        <v>0</v>
      </c>
      <c r="Y48" s="7"/>
      <c r="Z48" s="12"/>
      <c r="AA48" s="17"/>
      <c r="AB48" s="2">
        <f t="shared" si="6"/>
        <v>0</v>
      </c>
      <c r="AC48" s="21">
        <f t="shared" si="7"/>
        <v>0</v>
      </c>
      <c r="AD48" s="380">
        <f t="shared" si="15"/>
        <v>0</v>
      </c>
      <c r="AE48" s="380">
        <f t="shared" si="16"/>
        <v>0</v>
      </c>
      <c r="AF48" s="381">
        <f t="shared" si="8"/>
        <v>0</v>
      </c>
      <c r="AG48" s="380">
        <f t="shared" si="17"/>
        <v>0</v>
      </c>
      <c r="AH48" s="380">
        <f t="shared" si="18"/>
        <v>0</v>
      </c>
      <c r="AI48" s="380">
        <f>IF(AD48&lt;=0,0,AD48*IF('Simulador 7x5'!$Y$81=1,0,'Simulador 7x5'!$U$75))+IF(AD48&lt;=0,0,IF('Simulador 7x5'!$T$41=1,'Simulador 7x5'!$E$55,'Simulador 7x5'!$G$55))</f>
        <v>0</v>
      </c>
      <c r="AJ48" s="380">
        <f t="shared" si="0"/>
        <v>0</v>
      </c>
      <c r="AK48" s="109">
        <f t="shared" si="9"/>
        <v>0</v>
      </c>
      <c r="AM48" s="141">
        <v>2</v>
      </c>
      <c r="AN48" s="2">
        <v>8</v>
      </c>
      <c r="AO48" s="329">
        <f t="shared" si="10"/>
        <v>0</v>
      </c>
      <c r="AP48" s="329">
        <f t="shared" si="11"/>
        <v>0</v>
      </c>
      <c r="AQ48" s="20">
        <f t="shared" si="12"/>
        <v>0</v>
      </c>
      <c r="AR48" s="36"/>
      <c r="AS48">
        <f t="shared" si="19"/>
        <v>0</v>
      </c>
      <c r="AT48" s="384">
        <f t="shared" si="20"/>
      </c>
      <c r="AU48" s="385">
        <f t="shared" si="13"/>
        <v>0</v>
      </c>
      <c r="AV48" s="36">
        <v>32</v>
      </c>
    </row>
    <row r="49" spans="1:48" ht="12.75">
      <c r="A49" s="443">
        <v>33</v>
      </c>
      <c r="B49" s="498">
        <f t="shared" si="1"/>
        <v>0</v>
      </c>
      <c r="C49" s="499"/>
      <c r="D49" s="498">
        <f>IF(B49+F49-D48&lt;=0,B49+F49,IF(A49=$B$9,$F$9,IF(A49=$B$10,$F$10,IF(AND('Simulador 7x5'!$AD$45=2,L48=0),D48*(1+Z49),IF($AN$3=2,B49*AK49,D48*(1+Z49))))))</f>
        <v>0</v>
      </c>
      <c r="E49" s="500"/>
      <c r="F49" s="500">
        <f t="shared" si="2"/>
        <v>0</v>
      </c>
      <c r="G49" s="500"/>
      <c r="H49" s="500">
        <f t="shared" si="14"/>
        <v>0</v>
      </c>
      <c r="I49" s="501"/>
      <c r="J49" s="506"/>
      <c r="K49" s="501"/>
      <c r="L49" s="502"/>
      <c r="M49" s="501"/>
      <c r="N49" s="500">
        <v>0</v>
      </c>
      <c r="O49" s="6"/>
      <c r="P49" s="457">
        <f t="shared" si="3"/>
        <v>0</v>
      </c>
      <c r="Q49" s="1"/>
      <c r="R49" s="500">
        <f t="shared" si="4"/>
        <v>0</v>
      </c>
      <c r="S49" s="500"/>
      <c r="T49" s="500">
        <f>IF(B49&lt;=0,0,B49*IF('Simulador 7x5'!$Y$81=1,0,'Simulador 7x5'!$U$75))</f>
        <v>0</v>
      </c>
      <c r="U49" s="500"/>
      <c r="V49" s="513">
        <f>IF(B49&lt;=0,0,IF('Simulador 7x5'!$T$41=1,'Simulador 7x5'!$E$55,'Simulador 7x5'!$G$55))</f>
        <v>0</v>
      </c>
      <c r="W49" s="500"/>
      <c r="X49" s="500">
        <f t="shared" si="5"/>
        <v>0</v>
      </c>
      <c r="Y49" s="7"/>
      <c r="Z49" s="12"/>
      <c r="AA49" s="17"/>
      <c r="AB49" s="2">
        <f t="shared" si="6"/>
        <v>0</v>
      </c>
      <c r="AC49" s="21">
        <f t="shared" si="7"/>
        <v>0</v>
      </c>
      <c r="AD49" s="380">
        <f t="shared" si="15"/>
        <v>0</v>
      </c>
      <c r="AE49" s="380">
        <f t="shared" si="16"/>
        <v>0</v>
      </c>
      <c r="AF49" s="381">
        <f t="shared" si="8"/>
        <v>0</v>
      </c>
      <c r="AG49" s="380">
        <f t="shared" si="17"/>
        <v>0</v>
      </c>
      <c r="AH49" s="380">
        <f t="shared" si="18"/>
        <v>0</v>
      </c>
      <c r="AI49" s="380">
        <f>IF(AD49&lt;=0,0,AD49*IF('Simulador 7x5'!$Y$81=1,0,'Simulador 7x5'!$U$75))+IF(AD49&lt;=0,0,IF('Simulador 7x5'!$T$41=1,'Simulador 7x5'!$E$55,'Simulador 7x5'!$G$55))</f>
        <v>0</v>
      </c>
      <c r="AJ49" s="380">
        <f t="shared" si="0"/>
        <v>0</v>
      </c>
      <c r="AK49" s="109">
        <f t="shared" si="9"/>
        <v>0</v>
      </c>
      <c r="AM49" s="141">
        <v>2</v>
      </c>
      <c r="AN49" s="140">
        <v>9</v>
      </c>
      <c r="AO49" s="329">
        <f t="shared" si="10"/>
        <v>0</v>
      </c>
      <c r="AP49" s="329">
        <f t="shared" si="11"/>
        <v>0</v>
      </c>
      <c r="AQ49" s="20">
        <f t="shared" si="12"/>
        <v>0</v>
      </c>
      <c r="AR49" s="36"/>
      <c r="AS49">
        <f t="shared" si="19"/>
        <v>0</v>
      </c>
      <c r="AT49" s="384">
        <f t="shared" si="20"/>
      </c>
      <c r="AU49" s="385">
        <f t="shared" si="13"/>
        <v>0</v>
      </c>
      <c r="AV49" s="36">
        <v>33</v>
      </c>
    </row>
    <row r="50" spans="1:48" ht="12.75">
      <c r="A50" s="443">
        <v>34</v>
      </c>
      <c r="B50" s="498">
        <f t="shared" si="1"/>
        <v>0</v>
      </c>
      <c r="C50" s="499"/>
      <c r="D50" s="498">
        <f>IF(B50+F50-D49&lt;=0,B50+F50,IF(A50=$B$9,$F$9,IF(A50=$B$10,$F$10,IF(AND('Simulador 7x5'!$AD$45=2,L49=0),D49*(1+Z50),IF($AN$3=2,B50*AK50,D49*(1+Z50))))))</f>
        <v>0</v>
      </c>
      <c r="E50" s="500"/>
      <c r="F50" s="500">
        <f t="shared" si="2"/>
        <v>0</v>
      </c>
      <c r="G50" s="500"/>
      <c r="H50" s="500">
        <f t="shared" si="14"/>
        <v>0</v>
      </c>
      <c r="I50" s="501"/>
      <c r="J50" s="505">
        <f>IF(B50-H50=0,0,J48)</f>
        <v>0</v>
      </c>
      <c r="K50" s="501"/>
      <c r="L50" s="502"/>
      <c r="M50" s="501"/>
      <c r="N50" s="500">
        <v>0</v>
      </c>
      <c r="O50" s="6"/>
      <c r="P50" s="457">
        <f t="shared" si="3"/>
        <v>0</v>
      </c>
      <c r="Q50" s="1"/>
      <c r="R50" s="500">
        <f t="shared" si="4"/>
        <v>0</v>
      </c>
      <c r="S50" s="500"/>
      <c r="T50" s="500">
        <f>IF(B50&lt;=0,0,B50*IF('Simulador 7x5'!$Y$81=1,0,'Simulador 7x5'!$U$75))</f>
        <v>0</v>
      </c>
      <c r="U50" s="500"/>
      <c r="V50" s="513">
        <f>IF(B50&lt;=0,0,IF('Simulador 7x5'!$T$41=1,'Simulador 7x5'!$E$55,'Simulador 7x5'!$G$55))</f>
        <v>0</v>
      </c>
      <c r="W50" s="500"/>
      <c r="X50" s="500">
        <f t="shared" si="5"/>
        <v>0</v>
      </c>
      <c r="Y50" s="7"/>
      <c r="Z50" s="12"/>
      <c r="AA50" s="17"/>
      <c r="AB50" s="2">
        <f t="shared" si="6"/>
        <v>0</v>
      </c>
      <c r="AC50" s="21">
        <f aca="true" t="shared" si="21" ref="AC50:AC76">IF(AD50&lt;=0.01,0,AC49)</f>
        <v>0</v>
      </c>
      <c r="AD50" s="380">
        <f t="shared" si="15"/>
        <v>0</v>
      </c>
      <c r="AE50" s="380">
        <f t="shared" si="16"/>
        <v>0</v>
      </c>
      <c r="AF50" s="381">
        <f t="shared" si="8"/>
        <v>0</v>
      </c>
      <c r="AG50" s="380">
        <f t="shared" si="17"/>
        <v>0</v>
      </c>
      <c r="AH50" s="380">
        <f t="shared" si="18"/>
        <v>0</v>
      </c>
      <c r="AI50" s="380">
        <f>IF(AD50&lt;=0,0,AD50*IF('Simulador 7x5'!$Y$81=1,0,'Simulador 7x5'!$U$75))+IF(AD50&lt;=0,0,IF('Simulador 7x5'!$T$41=1,'Simulador 7x5'!$E$55,'Simulador 7x5'!$G$55))</f>
        <v>0</v>
      </c>
      <c r="AJ50" s="380">
        <f t="shared" si="0"/>
        <v>0</v>
      </c>
      <c r="AK50" s="109">
        <f t="shared" si="9"/>
        <v>0</v>
      </c>
      <c r="AM50" s="141">
        <v>2</v>
      </c>
      <c r="AN50" s="140">
        <v>10</v>
      </c>
      <c r="AO50" s="329">
        <f t="shared" si="10"/>
        <v>0</v>
      </c>
      <c r="AP50" s="329">
        <f t="shared" si="11"/>
        <v>0</v>
      </c>
      <c r="AQ50" s="20">
        <f t="shared" si="12"/>
        <v>0</v>
      </c>
      <c r="AR50" s="36"/>
      <c r="AS50">
        <f t="shared" si="19"/>
        <v>0</v>
      </c>
      <c r="AT50" s="384">
        <f t="shared" si="20"/>
      </c>
      <c r="AU50" s="385">
        <f t="shared" si="13"/>
        <v>0</v>
      </c>
      <c r="AV50" s="36">
        <v>34</v>
      </c>
    </row>
    <row r="51" spans="1:48" ht="12.75">
      <c r="A51" s="443">
        <v>35</v>
      </c>
      <c r="B51" s="498">
        <f t="shared" si="1"/>
        <v>0</v>
      </c>
      <c r="C51" s="499"/>
      <c r="D51" s="498">
        <f>IF(B51+F51-D50&lt;=0,B51+F51,IF(A51=$B$9,$F$9,IF(A51=$B$10,$F$10,IF(AND('Simulador 7x5'!$AD$45=2,L50=0),D50*(1+Z51),IF($AN$3=2,B51*AK51,D50*(1+Z51))))))</f>
        <v>0</v>
      </c>
      <c r="E51" s="500"/>
      <c r="F51" s="500">
        <f t="shared" si="2"/>
        <v>0</v>
      </c>
      <c r="G51" s="500"/>
      <c r="H51" s="500">
        <f t="shared" si="14"/>
        <v>0</v>
      </c>
      <c r="I51" s="501"/>
      <c r="J51" s="506"/>
      <c r="K51" s="501"/>
      <c r="L51" s="502"/>
      <c r="M51" s="501"/>
      <c r="N51" s="500">
        <v>0</v>
      </c>
      <c r="O51" s="6"/>
      <c r="P51" s="457">
        <f t="shared" si="3"/>
        <v>0</v>
      </c>
      <c r="Q51" s="1"/>
      <c r="R51" s="500">
        <f t="shared" si="4"/>
        <v>0</v>
      </c>
      <c r="S51" s="500"/>
      <c r="T51" s="500">
        <f>IF(B51&lt;=0,0,B51*IF('Simulador 7x5'!$Y$81=1,0,'Simulador 7x5'!$U$75))</f>
        <v>0</v>
      </c>
      <c r="U51" s="500"/>
      <c r="V51" s="513">
        <f>IF(B51&lt;=0,0,IF('Simulador 7x5'!$T$41=1,'Simulador 7x5'!$E$55,'Simulador 7x5'!$G$55))</f>
        <v>0</v>
      </c>
      <c r="W51" s="500"/>
      <c r="X51" s="500">
        <f t="shared" si="5"/>
        <v>0</v>
      </c>
      <c r="Y51" s="7"/>
      <c r="Z51" s="12"/>
      <c r="AA51" s="17"/>
      <c r="AB51" s="2">
        <f t="shared" si="6"/>
        <v>0</v>
      </c>
      <c r="AC51" s="21">
        <f t="shared" si="21"/>
        <v>0</v>
      </c>
      <c r="AD51" s="380">
        <f t="shared" si="15"/>
        <v>0</v>
      </c>
      <c r="AE51" s="380">
        <f t="shared" si="16"/>
        <v>0</v>
      </c>
      <c r="AF51" s="381">
        <f t="shared" si="8"/>
        <v>0</v>
      </c>
      <c r="AG51" s="380">
        <f t="shared" si="17"/>
        <v>0</v>
      </c>
      <c r="AH51" s="380">
        <f t="shared" si="18"/>
        <v>0</v>
      </c>
      <c r="AI51" s="380">
        <f>IF(AD51&lt;=0,0,AD51*IF('Simulador 7x5'!$Y$81=1,0,'Simulador 7x5'!$U$75))+IF(AD51&lt;=0,0,IF('Simulador 7x5'!$T$41=1,'Simulador 7x5'!$E$55,'Simulador 7x5'!$G$55))</f>
        <v>0</v>
      </c>
      <c r="AJ51" s="380">
        <f t="shared" si="0"/>
        <v>0</v>
      </c>
      <c r="AK51" s="109">
        <f t="shared" si="9"/>
        <v>0</v>
      </c>
      <c r="AM51" s="141">
        <v>2</v>
      </c>
      <c r="AN51" s="2">
        <v>11</v>
      </c>
      <c r="AO51" s="329">
        <f t="shared" si="10"/>
        <v>0</v>
      </c>
      <c r="AP51" s="329">
        <f t="shared" si="11"/>
        <v>0</v>
      </c>
      <c r="AQ51" s="20">
        <f t="shared" si="12"/>
        <v>0</v>
      </c>
      <c r="AR51" s="36"/>
      <c r="AS51">
        <f t="shared" si="19"/>
        <v>0</v>
      </c>
      <c r="AT51" s="384">
        <f t="shared" si="20"/>
      </c>
      <c r="AU51" s="385">
        <f t="shared" si="13"/>
        <v>0</v>
      </c>
      <c r="AV51" s="36">
        <v>35</v>
      </c>
    </row>
    <row r="52" spans="1:48" ht="12.75">
      <c r="A52" s="443">
        <v>36</v>
      </c>
      <c r="B52" s="498">
        <f t="shared" si="1"/>
        <v>0</v>
      </c>
      <c r="C52" s="499"/>
      <c r="D52" s="498">
        <f>IF(B52+F52-D51&lt;=0,B52+F52,IF(A52=$B$9,$F$9,IF(A52=$B$10,$F$10,IF(AND('Simulador 7x5'!$AD$45=2,L51=0),D51*(1+Z52),IF($AN$3=2,B52*AK52,D51*(1+Z52))))))</f>
        <v>0</v>
      </c>
      <c r="E52" s="500"/>
      <c r="F52" s="500">
        <f t="shared" si="2"/>
        <v>0</v>
      </c>
      <c r="G52" s="500"/>
      <c r="H52" s="500">
        <f t="shared" si="14"/>
        <v>0</v>
      </c>
      <c r="I52" s="501"/>
      <c r="J52" s="505">
        <f>IF(B52-H52=0,0,J50)</f>
        <v>0</v>
      </c>
      <c r="K52" s="501"/>
      <c r="L52" s="502"/>
      <c r="M52" s="501"/>
      <c r="N52" s="500">
        <v>0</v>
      </c>
      <c r="O52" s="6"/>
      <c r="P52" s="457">
        <f t="shared" si="3"/>
        <v>0</v>
      </c>
      <c r="Q52" s="1"/>
      <c r="R52" s="500">
        <f t="shared" si="4"/>
        <v>0</v>
      </c>
      <c r="S52" s="500"/>
      <c r="T52" s="500">
        <f>IF(B52&lt;=0,0,B52*IF('Simulador 7x5'!$Y$81=1,0,'Simulador 7x5'!$U$75))</f>
        <v>0</v>
      </c>
      <c r="U52" s="500"/>
      <c r="V52" s="513">
        <f>IF(B52&lt;=0,0,IF('Simulador 7x5'!$T$41=1,'Simulador 7x5'!$E$55,'Simulador 7x5'!$G$55))</f>
        <v>0</v>
      </c>
      <c r="W52" s="500"/>
      <c r="X52" s="500">
        <f t="shared" si="5"/>
        <v>0</v>
      </c>
      <c r="Y52" s="7"/>
      <c r="Z52" s="12"/>
      <c r="AA52" s="17"/>
      <c r="AB52" s="2">
        <f t="shared" si="6"/>
        <v>0</v>
      </c>
      <c r="AC52" s="21">
        <f t="shared" si="21"/>
        <v>0</v>
      </c>
      <c r="AD52" s="380">
        <f t="shared" si="15"/>
        <v>0</v>
      </c>
      <c r="AE52" s="380">
        <f t="shared" si="16"/>
        <v>0</v>
      </c>
      <c r="AF52" s="381">
        <f t="shared" si="8"/>
        <v>0</v>
      </c>
      <c r="AG52" s="380">
        <f t="shared" si="17"/>
        <v>0</v>
      </c>
      <c r="AH52" s="380">
        <f t="shared" si="18"/>
        <v>0</v>
      </c>
      <c r="AI52" s="380">
        <f>IF(AD52&lt;=0,0,AD52*IF('Simulador 7x5'!$Y$81=1,0,'Simulador 7x5'!$U$75))+IF(AD52&lt;=0,0,IF('Simulador 7x5'!$T$41=1,'Simulador 7x5'!$E$55,'Simulador 7x5'!$G$55))</f>
        <v>0</v>
      </c>
      <c r="AJ52" s="380">
        <f t="shared" si="0"/>
        <v>0</v>
      </c>
      <c r="AK52" s="109">
        <f t="shared" si="9"/>
        <v>0</v>
      </c>
      <c r="AM52" s="141">
        <v>3</v>
      </c>
      <c r="AN52" s="2">
        <v>0</v>
      </c>
      <c r="AO52" s="329">
        <f t="shared" si="10"/>
        <v>0</v>
      </c>
      <c r="AP52" s="329">
        <f t="shared" si="11"/>
        <v>0</v>
      </c>
      <c r="AQ52" s="20">
        <f t="shared" si="12"/>
        <v>0</v>
      </c>
      <c r="AR52" s="36"/>
      <c r="AS52">
        <f t="shared" si="19"/>
        <v>0</v>
      </c>
      <c r="AT52" s="384">
        <f t="shared" si="20"/>
      </c>
      <c r="AU52" s="385">
        <f t="shared" si="13"/>
        <v>0</v>
      </c>
      <c r="AV52" s="36">
        <v>36</v>
      </c>
    </row>
    <row r="53" spans="1:48" ht="12.75">
      <c r="A53" s="443">
        <v>37</v>
      </c>
      <c r="B53" s="498">
        <f t="shared" si="1"/>
        <v>0</v>
      </c>
      <c r="C53" s="499"/>
      <c r="D53" s="498">
        <f>IF(B53+F53-D52&lt;=0,B53+F53,IF(A53=$B$9,$F$9,IF(A53=$B$10,$F$10,IF(AND('Simulador 7x5'!$AD$45=2,L52=0),D52*(1+Z53),IF($AN$3=2,B53*AK53,D52*(1+Z53))))))</f>
        <v>0</v>
      </c>
      <c r="E53" s="500"/>
      <c r="F53" s="500">
        <f t="shared" si="2"/>
        <v>0</v>
      </c>
      <c r="G53" s="500"/>
      <c r="H53" s="500">
        <f t="shared" si="14"/>
        <v>0</v>
      </c>
      <c r="I53" s="501"/>
      <c r="J53" s="506"/>
      <c r="K53" s="501"/>
      <c r="L53" s="502"/>
      <c r="M53" s="501"/>
      <c r="N53" s="500">
        <v>0</v>
      </c>
      <c r="O53" s="6"/>
      <c r="P53" s="457">
        <f t="shared" si="3"/>
        <v>0</v>
      </c>
      <c r="Q53" s="1"/>
      <c r="R53" s="500">
        <f t="shared" si="4"/>
        <v>0</v>
      </c>
      <c r="S53" s="500"/>
      <c r="T53" s="500">
        <f>IF(B53&lt;=0,0,B53*IF('Simulador 7x5'!$Y$81=1,0,'Simulador 7x5'!$U$75))</f>
        <v>0</v>
      </c>
      <c r="U53" s="500"/>
      <c r="V53" s="513">
        <f>IF(B53&lt;=0,0,IF('Simulador 7x5'!$T$41=1,'Simulador 7x5'!$E$55,'Simulador 7x5'!$G$55))</f>
        <v>0</v>
      </c>
      <c r="W53" s="500"/>
      <c r="X53" s="500">
        <f t="shared" si="5"/>
        <v>0</v>
      </c>
      <c r="Y53" s="7"/>
      <c r="Z53" s="12">
        <f>IF(B53&lt;=0,0,'Simulador 7x5'!$AE$54)</f>
        <v>0</v>
      </c>
      <c r="AA53" s="17"/>
      <c r="AB53" s="2">
        <f t="shared" si="6"/>
        <v>0</v>
      </c>
      <c r="AC53" s="21">
        <f t="shared" si="21"/>
        <v>0</v>
      </c>
      <c r="AD53" s="380">
        <f t="shared" si="15"/>
        <v>0</v>
      </c>
      <c r="AE53" s="380">
        <f t="shared" si="16"/>
        <v>0</v>
      </c>
      <c r="AF53" s="381">
        <f t="shared" si="8"/>
        <v>0</v>
      </c>
      <c r="AG53" s="380">
        <f t="shared" si="17"/>
        <v>0</v>
      </c>
      <c r="AH53" s="380">
        <f t="shared" si="18"/>
        <v>0</v>
      </c>
      <c r="AI53" s="380">
        <f>IF(AD53&lt;=0,0,AD53*IF('Simulador 7x5'!$Y$81=1,0,'Simulador 7x5'!$U$75))+IF(AD53&lt;=0,0,IF('Simulador 7x5'!$T$41=1,'Simulador 7x5'!$E$55,'Simulador 7x5'!$G$55))</f>
        <v>0</v>
      </c>
      <c r="AJ53" s="380">
        <f t="shared" si="0"/>
        <v>0</v>
      </c>
      <c r="AK53" s="109">
        <f t="shared" si="9"/>
        <v>0</v>
      </c>
      <c r="AM53" s="141">
        <v>3</v>
      </c>
      <c r="AN53" s="2">
        <v>1</v>
      </c>
      <c r="AO53" s="329">
        <f t="shared" si="10"/>
        <v>0</v>
      </c>
      <c r="AP53" s="329">
        <f t="shared" si="11"/>
        <v>0</v>
      </c>
      <c r="AQ53" s="20">
        <f t="shared" si="12"/>
        <v>0</v>
      </c>
      <c r="AR53" s="36"/>
      <c r="AS53">
        <f t="shared" si="19"/>
        <v>0</v>
      </c>
      <c r="AT53" s="384">
        <f t="shared" si="20"/>
      </c>
      <c r="AU53" s="385">
        <f t="shared" si="13"/>
        <v>0</v>
      </c>
      <c r="AV53" s="36">
        <v>37</v>
      </c>
    </row>
    <row r="54" spans="1:48" ht="12.75">
      <c r="A54" s="443">
        <v>38</v>
      </c>
      <c r="B54" s="498">
        <f t="shared" si="1"/>
        <v>0</v>
      </c>
      <c r="C54" s="499"/>
      <c r="D54" s="498">
        <f>IF(B54+F54-D53&lt;=0,B54+F54,IF(A54=$B$9,$F$9,IF(A54=$B$10,$F$10,IF(AND('Simulador 7x5'!$AD$45=2,L53=0),D53*(1+Z54),IF($AN$3=2,B54*AK54,D53*(1+Z54))))))</f>
        <v>0</v>
      </c>
      <c r="E54" s="500"/>
      <c r="F54" s="500">
        <f t="shared" si="2"/>
        <v>0</v>
      </c>
      <c r="G54" s="500"/>
      <c r="H54" s="500">
        <f t="shared" si="14"/>
        <v>0</v>
      </c>
      <c r="I54" s="501"/>
      <c r="J54" s="505">
        <f>IF(B54-H54=0,0,J52*(1+(3%)))</f>
        <v>0</v>
      </c>
      <c r="K54" s="501"/>
      <c r="L54" s="502"/>
      <c r="M54" s="501"/>
      <c r="N54" s="500">
        <v>0</v>
      </c>
      <c r="O54" s="6"/>
      <c r="P54" s="457">
        <f t="shared" si="3"/>
        <v>0</v>
      </c>
      <c r="Q54" s="1"/>
      <c r="R54" s="500">
        <f t="shared" si="4"/>
        <v>0</v>
      </c>
      <c r="S54" s="500"/>
      <c r="T54" s="500">
        <f>IF(B54&lt;=0,0,B54*IF('Simulador 7x5'!$Y$81=1,0,'Simulador 7x5'!$U$75))</f>
        <v>0</v>
      </c>
      <c r="U54" s="500"/>
      <c r="V54" s="513">
        <f>IF(B54&lt;=0,0,IF('Simulador 7x5'!$T$41=1,'Simulador 7x5'!$E$55,'Simulador 7x5'!$G$55))</f>
        <v>0</v>
      </c>
      <c r="W54" s="500"/>
      <c r="X54" s="500">
        <f t="shared" si="5"/>
        <v>0</v>
      </c>
      <c r="Y54" s="7"/>
      <c r="Z54" s="12"/>
      <c r="AA54" s="17"/>
      <c r="AB54" s="2">
        <f t="shared" si="6"/>
        <v>0</v>
      </c>
      <c r="AC54" s="21">
        <f t="shared" si="21"/>
        <v>0</v>
      </c>
      <c r="AD54" s="380">
        <f t="shared" si="15"/>
        <v>0</v>
      </c>
      <c r="AE54" s="380">
        <f t="shared" si="16"/>
        <v>0</v>
      </c>
      <c r="AF54" s="381">
        <f t="shared" si="8"/>
        <v>0</v>
      </c>
      <c r="AG54" s="380">
        <f t="shared" si="17"/>
        <v>0</v>
      </c>
      <c r="AH54" s="380">
        <f t="shared" si="18"/>
        <v>0</v>
      </c>
      <c r="AI54" s="380">
        <f>IF(AD54&lt;=0,0,AD54*IF('Simulador 7x5'!$Y$81=1,0,'Simulador 7x5'!$U$75))+IF(AD54&lt;=0,0,IF('Simulador 7x5'!$T$41=1,'Simulador 7x5'!$E$55,'Simulador 7x5'!$G$55))</f>
        <v>0</v>
      </c>
      <c r="AJ54" s="380">
        <f t="shared" si="0"/>
        <v>0</v>
      </c>
      <c r="AK54" s="109">
        <f t="shared" si="9"/>
        <v>0</v>
      </c>
      <c r="AM54" s="141">
        <v>3</v>
      </c>
      <c r="AN54" s="139">
        <v>2</v>
      </c>
      <c r="AO54" s="329">
        <f t="shared" si="10"/>
        <v>0</v>
      </c>
      <c r="AP54" s="329">
        <f t="shared" si="11"/>
        <v>0</v>
      </c>
      <c r="AQ54" s="20">
        <f t="shared" si="12"/>
        <v>0</v>
      </c>
      <c r="AR54" s="36"/>
      <c r="AS54">
        <f t="shared" si="19"/>
        <v>0</v>
      </c>
      <c r="AT54" s="384">
        <f t="shared" si="20"/>
      </c>
      <c r="AU54" s="385">
        <f t="shared" si="13"/>
        <v>0</v>
      </c>
      <c r="AV54" s="36">
        <v>38</v>
      </c>
    </row>
    <row r="55" spans="1:48" ht="12.75">
      <c r="A55" s="443">
        <v>39</v>
      </c>
      <c r="B55" s="498">
        <f t="shared" si="1"/>
        <v>0</v>
      </c>
      <c r="C55" s="499"/>
      <c r="D55" s="498">
        <f>IF(B55+F55-D54&lt;=0,B55+F55,IF(A55=$B$9,$F$9,IF(A55=$B$10,$F$10,IF(AND('Simulador 7x5'!$AD$45=2,L54=0),D54*(1+Z55),IF($AN$3=2,B55*AK55,D54*(1+Z55))))))</f>
        <v>0</v>
      </c>
      <c r="E55" s="500"/>
      <c r="F55" s="500">
        <f t="shared" si="2"/>
        <v>0</v>
      </c>
      <c r="G55" s="500"/>
      <c r="H55" s="500">
        <f t="shared" si="14"/>
        <v>0</v>
      </c>
      <c r="I55" s="501"/>
      <c r="J55" s="506"/>
      <c r="K55" s="501"/>
      <c r="L55" s="502"/>
      <c r="M55" s="501"/>
      <c r="N55" s="500">
        <v>0</v>
      </c>
      <c r="O55" s="6"/>
      <c r="P55" s="457">
        <f t="shared" si="3"/>
        <v>0</v>
      </c>
      <c r="Q55" s="1"/>
      <c r="R55" s="500">
        <f t="shared" si="4"/>
        <v>0</v>
      </c>
      <c r="S55" s="500"/>
      <c r="T55" s="500">
        <f>IF(B55&lt;=0,0,B55*IF('Simulador 7x5'!$Y$81=1,0,'Simulador 7x5'!$U$75))</f>
        <v>0</v>
      </c>
      <c r="U55" s="500"/>
      <c r="V55" s="513">
        <f>IF(B55&lt;=0,0,IF('Simulador 7x5'!$T$41=1,'Simulador 7x5'!$E$55,'Simulador 7x5'!$G$55))</f>
        <v>0</v>
      </c>
      <c r="W55" s="500"/>
      <c r="X55" s="500">
        <f t="shared" si="5"/>
        <v>0</v>
      </c>
      <c r="Y55" s="7"/>
      <c r="Z55" s="12"/>
      <c r="AA55" s="17"/>
      <c r="AB55" s="2">
        <f t="shared" si="6"/>
        <v>0</v>
      </c>
      <c r="AC55" s="21">
        <f t="shared" si="21"/>
        <v>0</v>
      </c>
      <c r="AD55" s="380">
        <f t="shared" si="15"/>
        <v>0</v>
      </c>
      <c r="AE55" s="380">
        <f t="shared" si="16"/>
        <v>0</v>
      </c>
      <c r="AF55" s="381">
        <f t="shared" si="8"/>
        <v>0</v>
      </c>
      <c r="AG55" s="380">
        <f t="shared" si="17"/>
        <v>0</v>
      </c>
      <c r="AH55" s="380">
        <f t="shared" si="18"/>
        <v>0</v>
      </c>
      <c r="AI55" s="380">
        <f>IF(AD55&lt;=0,0,AD55*IF('Simulador 7x5'!$Y$81=1,0,'Simulador 7x5'!$U$75))+IF(AD55&lt;=0,0,IF('Simulador 7x5'!$T$41=1,'Simulador 7x5'!$E$55,'Simulador 7x5'!$G$55))</f>
        <v>0</v>
      </c>
      <c r="AJ55" s="380">
        <f t="shared" si="0"/>
        <v>0</v>
      </c>
      <c r="AK55" s="109">
        <f t="shared" si="9"/>
        <v>0</v>
      </c>
      <c r="AM55" s="141">
        <v>3</v>
      </c>
      <c r="AN55" s="139">
        <v>3</v>
      </c>
      <c r="AO55" s="329">
        <f t="shared" si="10"/>
        <v>0</v>
      </c>
      <c r="AP55" s="329">
        <f t="shared" si="11"/>
        <v>0</v>
      </c>
      <c r="AQ55" s="20">
        <f t="shared" si="12"/>
        <v>0</v>
      </c>
      <c r="AR55" s="36"/>
      <c r="AS55">
        <f t="shared" si="19"/>
        <v>0</v>
      </c>
      <c r="AT55" s="384">
        <f t="shared" si="20"/>
      </c>
      <c r="AU55" s="385">
        <f t="shared" si="13"/>
        <v>0</v>
      </c>
      <c r="AV55" s="36">
        <v>39</v>
      </c>
    </row>
    <row r="56" spans="1:48" ht="12.75">
      <c r="A56" s="443">
        <v>40</v>
      </c>
      <c r="B56" s="498">
        <f t="shared" si="1"/>
        <v>0</v>
      </c>
      <c r="C56" s="499"/>
      <c r="D56" s="498">
        <f>IF(B56+F56-D55&lt;=0,B56+F56,IF(A56=$B$9,$F$9,IF(A56=$B$10,$F$10,IF(AND('Simulador 7x5'!$AD$45=2,L55=0),D55*(1+Z56),IF($AN$3=2,B56*AK56,D55*(1+Z56))))))</f>
        <v>0</v>
      </c>
      <c r="E56" s="500"/>
      <c r="F56" s="500">
        <f t="shared" si="2"/>
        <v>0</v>
      </c>
      <c r="G56" s="500"/>
      <c r="H56" s="500">
        <f t="shared" si="14"/>
        <v>0</v>
      </c>
      <c r="I56" s="501"/>
      <c r="J56" s="505">
        <f>IF(B56-H56=0,0,J54)</f>
        <v>0</v>
      </c>
      <c r="K56" s="501"/>
      <c r="L56" s="502"/>
      <c r="M56" s="501"/>
      <c r="N56" s="500">
        <v>0</v>
      </c>
      <c r="O56" s="6"/>
      <c r="P56" s="457">
        <f t="shared" si="3"/>
        <v>0</v>
      </c>
      <c r="Q56" s="1"/>
      <c r="R56" s="500">
        <f t="shared" si="4"/>
        <v>0</v>
      </c>
      <c r="S56" s="500"/>
      <c r="T56" s="500">
        <f>IF(B56&lt;=0,0,B56*IF('Simulador 7x5'!$Y$81=1,0,'Simulador 7x5'!$U$75))</f>
        <v>0</v>
      </c>
      <c r="U56" s="500"/>
      <c r="V56" s="513">
        <f>IF(B56&lt;=0,0,IF('Simulador 7x5'!$T$41=1,'Simulador 7x5'!$E$55,'Simulador 7x5'!$G$55))</f>
        <v>0</v>
      </c>
      <c r="W56" s="500"/>
      <c r="X56" s="500">
        <f t="shared" si="5"/>
        <v>0</v>
      </c>
      <c r="Y56" s="7"/>
      <c r="Z56" s="12"/>
      <c r="AA56" s="17"/>
      <c r="AB56" s="2">
        <f t="shared" si="6"/>
        <v>0</v>
      </c>
      <c r="AC56" s="21">
        <f t="shared" si="21"/>
        <v>0</v>
      </c>
      <c r="AD56" s="380">
        <f t="shared" si="15"/>
        <v>0</v>
      </c>
      <c r="AE56" s="380">
        <f t="shared" si="16"/>
        <v>0</v>
      </c>
      <c r="AF56" s="381">
        <f t="shared" si="8"/>
        <v>0</v>
      </c>
      <c r="AG56" s="380">
        <f t="shared" si="17"/>
        <v>0</v>
      </c>
      <c r="AH56" s="380">
        <f t="shared" si="18"/>
        <v>0</v>
      </c>
      <c r="AI56" s="380">
        <f>IF(AD56&lt;=0,0,AD56*IF('Simulador 7x5'!$Y$81=1,0,'Simulador 7x5'!$U$75))+IF(AD56&lt;=0,0,IF('Simulador 7x5'!$T$41=1,'Simulador 7x5'!$E$55,'Simulador 7x5'!$G$55))</f>
        <v>0</v>
      </c>
      <c r="AJ56" s="380">
        <f t="shared" si="0"/>
        <v>0</v>
      </c>
      <c r="AK56" s="109">
        <f t="shared" si="9"/>
        <v>0</v>
      </c>
      <c r="AM56" s="141">
        <v>3</v>
      </c>
      <c r="AN56" s="2">
        <v>4</v>
      </c>
      <c r="AO56" s="329">
        <f t="shared" si="10"/>
        <v>0</v>
      </c>
      <c r="AP56" s="329">
        <f t="shared" si="11"/>
        <v>0</v>
      </c>
      <c r="AQ56" s="20">
        <f t="shared" si="12"/>
        <v>0</v>
      </c>
      <c r="AR56" s="36"/>
      <c r="AS56">
        <f t="shared" si="19"/>
        <v>0</v>
      </c>
      <c r="AT56" s="384">
        <f t="shared" si="20"/>
      </c>
      <c r="AU56" s="385">
        <f t="shared" si="13"/>
        <v>0</v>
      </c>
      <c r="AV56" s="36">
        <v>40</v>
      </c>
    </row>
    <row r="57" spans="1:48" ht="12.75">
      <c r="A57" s="443">
        <v>41</v>
      </c>
      <c r="B57" s="498">
        <f t="shared" si="1"/>
        <v>0</v>
      </c>
      <c r="C57" s="499"/>
      <c r="D57" s="498">
        <f>IF(B57+F57-D56&lt;=0,B57+F57,IF(A57=$B$9,$F$9,IF(A57=$B$10,$F$10,IF(AND('Simulador 7x5'!$AD$45=2,L56=0),D56*(1+Z57),IF($AN$3=2,B57*AK57,D56*(1+Z57))))))</f>
        <v>0</v>
      </c>
      <c r="E57" s="500"/>
      <c r="F57" s="500">
        <f t="shared" si="2"/>
        <v>0</v>
      </c>
      <c r="G57" s="500"/>
      <c r="H57" s="500">
        <f t="shared" si="14"/>
        <v>0</v>
      </c>
      <c r="I57" s="501"/>
      <c r="J57" s="506"/>
      <c r="K57" s="501"/>
      <c r="L57" s="502"/>
      <c r="M57" s="501"/>
      <c r="N57" s="500">
        <v>0</v>
      </c>
      <c r="O57" s="6"/>
      <c r="P57" s="457">
        <f t="shared" si="3"/>
        <v>0</v>
      </c>
      <c r="Q57" s="1"/>
      <c r="R57" s="500">
        <f t="shared" si="4"/>
        <v>0</v>
      </c>
      <c r="S57" s="500"/>
      <c r="T57" s="500">
        <f>IF(B57&lt;=0,0,B57*IF('Simulador 7x5'!$Y$81=1,0,'Simulador 7x5'!$U$75))</f>
        <v>0</v>
      </c>
      <c r="U57" s="500"/>
      <c r="V57" s="513">
        <f>IF(B57&lt;=0,0,IF('Simulador 7x5'!$T$41=1,'Simulador 7x5'!$E$55,'Simulador 7x5'!$G$55))</f>
        <v>0</v>
      </c>
      <c r="W57" s="500"/>
      <c r="X57" s="500">
        <f t="shared" si="5"/>
        <v>0</v>
      </c>
      <c r="Y57" s="7"/>
      <c r="Z57" s="12"/>
      <c r="AA57" s="17"/>
      <c r="AB57" s="2">
        <f t="shared" si="6"/>
        <v>0</v>
      </c>
      <c r="AC57" s="21">
        <f t="shared" si="21"/>
        <v>0</v>
      </c>
      <c r="AD57" s="380">
        <f t="shared" si="15"/>
        <v>0</v>
      </c>
      <c r="AE57" s="380">
        <f t="shared" si="16"/>
        <v>0</v>
      </c>
      <c r="AF57" s="381">
        <f t="shared" si="8"/>
        <v>0</v>
      </c>
      <c r="AG57" s="380">
        <f t="shared" si="17"/>
        <v>0</v>
      </c>
      <c r="AH57" s="380">
        <f t="shared" si="18"/>
        <v>0</v>
      </c>
      <c r="AI57" s="380">
        <f>IF(AD57&lt;=0,0,AD57*IF('Simulador 7x5'!$Y$81=1,0,'Simulador 7x5'!$U$75))+IF(AD57&lt;=0,0,IF('Simulador 7x5'!$T$41=1,'Simulador 7x5'!$E$55,'Simulador 7x5'!$G$55))</f>
        <v>0</v>
      </c>
      <c r="AJ57" s="380">
        <f t="shared" si="0"/>
        <v>0</v>
      </c>
      <c r="AK57" s="109">
        <f t="shared" si="9"/>
        <v>0</v>
      </c>
      <c r="AM57" s="141">
        <v>3</v>
      </c>
      <c r="AN57" s="2">
        <v>5</v>
      </c>
      <c r="AO57" s="329">
        <f t="shared" si="10"/>
        <v>0</v>
      </c>
      <c r="AP57" s="329">
        <f t="shared" si="11"/>
        <v>0</v>
      </c>
      <c r="AQ57" s="20">
        <f t="shared" si="12"/>
        <v>0</v>
      </c>
      <c r="AR57" s="36"/>
      <c r="AS57">
        <f t="shared" si="19"/>
        <v>0</v>
      </c>
      <c r="AT57" s="384">
        <f t="shared" si="20"/>
      </c>
      <c r="AU57" s="385">
        <f t="shared" si="13"/>
        <v>0</v>
      </c>
      <c r="AV57" s="36">
        <v>41</v>
      </c>
    </row>
    <row r="58" spans="1:48" ht="12.75">
      <c r="A58" s="443">
        <v>42</v>
      </c>
      <c r="B58" s="498">
        <f t="shared" si="1"/>
        <v>0</v>
      </c>
      <c r="C58" s="499"/>
      <c r="D58" s="498">
        <f>IF(B58+F58-D57&lt;=0,B58+F58,IF(A58=$B$9,$F$9,IF(A58=$B$10,$F$10,IF(AND('Simulador 7x5'!$AD$45=2,L57=0),D57*(1+Z58),IF($AN$3=2,B58*AK58,D57*(1+Z58))))))</f>
        <v>0</v>
      </c>
      <c r="E58" s="500"/>
      <c r="F58" s="500">
        <f t="shared" si="2"/>
        <v>0</v>
      </c>
      <c r="G58" s="500"/>
      <c r="H58" s="500">
        <f t="shared" si="14"/>
        <v>0</v>
      </c>
      <c r="I58" s="501"/>
      <c r="J58" s="505">
        <f>IF(B58-H58=0,0,J56)</f>
        <v>0</v>
      </c>
      <c r="K58" s="501"/>
      <c r="L58" s="502"/>
      <c r="M58" s="501"/>
      <c r="N58" s="500">
        <v>0</v>
      </c>
      <c r="O58" s="6"/>
      <c r="P58" s="457">
        <f t="shared" si="3"/>
        <v>0</v>
      </c>
      <c r="Q58" s="1"/>
      <c r="R58" s="500">
        <f t="shared" si="4"/>
        <v>0</v>
      </c>
      <c r="S58" s="500"/>
      <c r="T58" s="500">
        <f>IF(B58&lt;=0,0,B58*IF('Simulador 7x5'!$Y$81=1,0,'Simulador 7x5'!$U$75))</f>
        <v>0</v>
      </c>
      <c r="U58" s="500"/>
      <c r="V58" s="513">
        <f>IF(B58&lt;=0,0,IF('Simulador 7x5'!$T$41=1,'Simulador 7x5'!$E$55,'Simulador 7x5'!$G$55))</f>
        <v>0</v>
      </c>
      <c r="W58" s="500"/>
      <c r="X58" s="500">
        <f t="shared" si="5"/>
        <v>0</v>
      </c>
      <c r="Y58" s="7"/>
      <c r="Z58" s="12"/>
      <c r="AA58" s="17"/>
      <c r="AB58" s="2">
        <f t="shared" si="6"/>
        <v>0</v>
      </c>
      <c r="AC58" s="21">
        <f t="shared" si="21"/>
        <v>0</v>
      </c>
      <c r="AD58" s="380">
        <f t="shared" si="15"/>
        <v>0</v>
      </c>
      <c r="AE58" s="380">
        <f t="shared" si="16"/>
        <v>0</v>
      </c>
      <c r="AF58" s="381">
        <f t="shared" si="8"/>
        <v>0</v>
      </c>
      <c r="AG58" s="380">
        <f t="shared" si="17"/>
        <v>0</v>
      </c>
      <c r="AH58" s="380">
        <f t="shared" si="18"/>
        <v>0</v>
      </c>
      <c r="AI58" s="380">
        <f>IF(AD58&lt;=0,0,AD58*IF('Simulador 7x5'!$Y$81=1,0,'Simulador 7x5'!$U$75))+IF(AD58&lt;=0,0,IF('Simulador 7x5'!$T$41=1,'Simulador 7x5'!$E$55,'Simulador 7x5'!$G$55))</f>
        <v>0</v>
      </c>
      <c r="AJ58" s="380">
        <f t="shared" si="0"/>
        <v>0</v>
      </c>
      <c r="AK58" s="109">
        <f t="shared" si="9"/>
        <v>0</v>
      </c>
      <c r="AM58" s="141">
        <v>3</v>
      </c>
      <c r="AN58" s="2">
        <v>6</v>
      </c>
      <c r="AO58" s="329">
        <f t="shared" si="10"/>
        <v>0</v>
      </c>
      <c r="AP58" s="329">
        <f t="shared" si="11"/>
        <v>0</v>
      </c>
      <c r="AQ58" s="20">
        <f t="shared" si="12"/>
        <v>0</v>
      </c>
      <c r="AR58" s="36"/>
      <c r="AS58">
        <f t="shared" si="19"/>
        <v>0</v>
      </c>
      <c r="AT58" s="384">
        <f t="shared" si="20"/>
      </c>
      <c r="AU58" s="385">
        <f t="shared" si="13"/>
        <v>0</v>
      </c>
      <c r="AV58" s="36">
        <v>42</v>
      </c>
    </row>
    <row r="59" spans="1:48" ht="12.75">
      <c r="A59" s="443">
        <v>43</v>
      </c>
      <c r="B59" s="498">
        <f t="shared" si="1"/>
        <v>0</v>
      </c>
      <c r="C59" s="499"/>
      <c r="D59" s="498">
        <f>IF(B59+F59-D58&lt;=0,B59+F59,IF(A59=$B$9,$F$9,IF(A59=$B$10,$F$10,IF(AND('Simulador 7x5'!$AD$45=2,L58=0),D58*(1+Z59),IF($AN$3=2,B59*AK59,D58*(1+Z59))))))</f>
        <v>0</v>
      </c>
      <c r="E59" s="500"/>
      <c r="F59" s="500">
        <f t="shared" si="2"/>
        <v>0</v>
      </c>
      <c r="G59" s="500"/>
      <c r="H59" s="500">
        <f t="shared" si="14"/>
        <v>0</v>
      </c>
      <c r="I59" s="501"/>
      <c r="J59" s="506"/>
      <c r="K59" s="501"/>
      <c r="L59" s="502"/>
      <c r="M59" s="501"/>
      <c r="N59" s="500">
        <v>0</v>
      </c>
      <c r="O59" s="6"/>
      <c r="P59" s="457">
        <f t="shared" si="3"/>
        <v>0</v>
      </c>
      <c r="Q59" s="1"/>
      <c r="R59" s="500">
        <f t="shared" si="4"/>
        <v>0</v>
      </c>
      <c r="S59" s="500"/>
      <c r="T59" s="500">
        <f>IF(B59&lt;=0,0,B59*IF('Simulador 7x5'!$Y$81=1,0,'Simulador 7x5'!$U$75))</f>
        <v>0</v>
      </c>
      <c r="U59" s="500"/>
      <c r="V59" s="513">
        <f>IF(B59&lt;=0,0,IF('Simulador 7x5'!$T$41=1,'Simulador 7x5'!$E$55,'Simulador 7x5'!$G$55))</f>
        <v>0</v>
      </c>
      <c r="W59" s="500"/>
      <c r="X59" s="500">
        <f t="shared" si="5"/>
        <v>0</v>
      </c>
      <c r="Y59" s="7"/>
      <c r="Z59" s="12"/>
      <c r="AA59" s="17"/>
      <c r="AB59" s="2">
        <f t="shared" si="6"/>
        <v>0</v>
      </c>
      <c r="AC59" s="21">
        <f t="shared" si="21"/>
        <v>0</v>
      </c>
      <c r="AD59" s="380">
        <f t="shared" si="15"/>
        <v>0</v>
      </c>
      <c r="AE59" s="380">
        <f t="shared" si="16"/>
        <v>0</v>
      </c>
      <c r="AF59" s="381">
        <f t="shared" si="8"/>
        <v>0</v>
      </c>
      <c r="AG59" s="380">
        <f t="shared" si="17"/>
        <v>0</v>
      </c>
      <c r="AH59" s="380">
        <f t="shared" si="18"/>
        <v>0</v>
      </c>
      <c r="AI59" s="380">
        <f>IF(AD59&lt;=0,0,AD59*IF('Simulador 7x5'!$Y$81=1,0,'Simulador 7x5'!$U$75))+IF(AD59&lt;=0,0,IF('Simulador 7x5'!$T$41=1,'Simulador 7x5'!$E$55,'Simulador 7x5'!$G$55))</f>
        <v>0</v>
      </c>
      <c r="AJ59" s="380">
        <f t="shared" si="0"/>
        <v>0</v>
      </c>
      <c r="AK59" s="109">
        <f t="shared" si="9"/>
        <v>0</v>
      </c>
      <c r="AM59" s="141">
        <v>3</v>
      </c>
      <c r="AN59" s="2">
        <v>7</v>
      </c>
      <c r="AO59" s="329">
        <f t="shared" si="10"/>
        <v>0</v>
      </c>
      <c r="AP59" s="329">
        <f t="shared" si="11"/>
        <v>0</v>
      </c>
      <c r="AQ59" s="20">
        <f t="shared" si="12"/>
        <v>0</v>
      </c>
      <c r="AR59" s="36"/>
      <c r="AS59">
        <f t="shared" si="19"/>
        <v>0</v>
      </c>
      <c r="AT59" s="384">
        <f t="shared" si="20"/>
      </c>
      <c r="AU59" s="385">
        <f t="shared" si="13"/>
        <v>0</v>
      </c>
      <c r="AV59" s="36">
        <v>43</v>
      </c>
    </row>
    <row r="60" spans="1:48" ht="12.75">
      <c r="A60" s="443">
        <v>44</v>
      </c>
      <c r="B60" s="498">
        <f t="shared" si="1"/>
        <v>0</v>
      </c>
      <c r="C60" s="499"/>
      <c r="D60" s="498">
        <f>IF(B60+F60-D59&lt;=0,B60+F60,IF(A60=$B$9,$F$9,IF(A60=$B$10,$F$10,IF(AND('Simulador 7x5'!$AD$45=2,L59=0),D59*(1+Z60),IF($AN$3=2,B60*AK60,D59*(1+Z60))))))</f>
        <v>0</v>
      </c>
      <c r="E60" s="500"/>
      <c r="F60" s="500">
        <f t="shared" si="2"/>
        <v>0</v>
      </c>
      <c r="G60" s="500"/>
      <c r="H60" s="500">
        <f t="shared" si="14"/>
        <v>0</v>
      </c>
      <c r="I60" s="501"/>
      <c r="J60" s="505">
        <f>IF(B60-H60=0,0,J58)</f>
        <v>0</v>
      </c>
      <c r="K60" s="501"/>
      <c r="L60" s="502"/>
      <c r="M60" s="501"/>
      <c r="N60" s="500">
        <v>0</v>
      </c>
      <c r="O60" s="6"/>
      <c r="P60" s="457">
        <f t="shared" si="3"/>
        <v>0</v>
      </c>
      <c r="Q60" s="1"/>
      <c r="R60" s="500">
        <f t="shared" si="4"/>
        <v>0</v>
      </c>
      <c r="S60" s="500"/>
      <c r="T60" s="500">
        <f>IF(B60&lt;=0,0,B60*IF('Simulador 7x5'!$Y$81=1,0,'Simulador 7x5'!$U$75))</f>
        <v>0</v>
      </c>
      <c r="U60" s="500"/>
      <c r="V60" s="513">
        <f>IF(B60&lt;=0,0,IF('Simulador 7x5'!$T$41=1,'Simulador 7x5'!$E$55,'Simulador 7x5'!$G$55))</f>
        <v>0</v>
      </c>
      <c r="W60" s="500"/>
      <c r="X60" s="500">
        <f t="shared" si="5"/>
        <v>0</v>
      </c>
      <c r="Y60" s="7"/>
      <c r="Z60" s="12"/>
      <c r="AA60" s="17"/>
      <c r="AB60" s="2">
        <f t="shared" si="6"/>
        <v>0</v>
      </c>
      <c r="AC60" s="21">
        <f t="shared" si="21"/>
        <v>0</v>
      </c>
      <c r="AD60" s="380">
        <f t="shared" si="15"/>
        <v>0</v>
      </c>
      <c r="AE60" s="380">
        <f t="shared" si="16"/>
        <v>0</v>
      </c>
      <c r="AF60" s="381">
        <f t="shared" si="8"/>
        <v>0</v>
      </c>
      <c r="AG60" s="380">
        <f t="shared" si="17"/>
        <v>0</v>
      </c>
      <c r="AH60" s="380">
        <f t="shared" si="18"/>
        <v>0</v>
      </c>
      <c r="AI60" s="380">
        <f>IF(AD60&lt;=0,0,AD60*IF('Simulador 7x5'!$Y$81=1,0,'Simulador 7x5'!$U$75))+IF(AD60&lt;=0,0,IF('Simulador 7x5'!$T$41=1,'Simulador 7x5'!$E$55,'Simulador 7x5'!$G$55))</f>
        <v>0</v>
      </c>
      <c r="AJ60" s="380">
        <f t="shared" si="0"/>
        <v>0</v>
      </c>
      <c r="AK60" s="109">
        <f t="shared" si="9"/>
        <v>0</v>
      </c>
      <c r="AM60" s="141">
        <v>3</v>
      </c>
      <c r="AN60" s="2">
        <v>8</v>
      </c>
      <c r="AO60" s="329">
        <f t="shared" si="10"/>
        <v>0</v>
      </c>
      <c r="AP60" s="329">
        <f t="shared" si="11"/>
        <v>0</v>
      </c>
      <c r="AQ60" s="20">
        <f t="shared" si="12"/>
        <v>0</v>
      </c>
      <c r="AR60" s="36"/>
      <c r="AS60">
        <f t="shared" si="19"/>
        <v>0</v>
      </c>
      <c r="AT60" s="384">
        <f t="shared" si="20"/>
      </c>
      <c r="AU60" s="385">
        <f t="shared" si="13"/>
        <v>0</v>
      </c>
      <c r="AV60" s="36">
        <v>44</v>
      </c>
    </row>
    <row r="61" spans="1:48" ht="12.75">
      <c r="A61" s="443">
        <v>45</v>
      </c>
      <c r="B61" s="498">
        <f t="shared" si="1"/>
        <v>0</v>
      </c>
      <c r="C61" s="499"/>
      <c r="D61" s="498">
        <f>IF(B61+F61-D60&lt;=0,B61+F61,IF(A61=$B$9,$F$9,IF(A61=$B$10,$F$10,IF(AND('Simulador 7x5'!$AD$45=2,L60=0),D60*(1+Z61),IF($AN$3=2,B61*AK61,D60*(1+Z61))))))</f>
        <v>0</v>
      </c>
      <c r="E61" s="500"/>
      <c r="F61" s="500">
        <f t="shared" si="2"/>
        <v>0</v>
      </c>
      <c r="G61" s="500"/>
      <c r="H61" s="500">
        <f t="shared" si="14"/>
        <v>0</v>
      </c>
      <c r="I61" s="501"/>
      <c r="J61" s="506"/>
      <c r="K61" s="501"/>
      <c r="L61" s="502"/>
      <c r="M61" s="501"/>
      <c r="N61" s="500">
        <v>0</v>
      </c>
      <c r="O61" s="6"/>
      <c r="P61" s="457">
        <f t="shared" si="3"/>
        <v>0</v>
      </c>
      <c r="Q61" s="1"/>
      <c r="R61" s="500">
        <f t="shared" si="4"/>
        <v>0</v>
      </c>
      <c r="S61" s="500"/>
      <c r="T61" s="500">
        <f>IF(B61&lt;=0,0,B61*IF('Simulador 7x5'!$Y$81=1,0,'Simulador 7x5'!$U$75))</f>
        <v>0</v>
      </c>
      <c r="U61" s="500"/>
      <c r="V61" s="513">
        <f>IF(B61&lt;=0,0,IF('Simulador 7x5'!$T$41=1,'Simulador 7x5'!$E$55,'Simulador 7x5'!$G$55))</f>
        <v>0</v>
      </c>
      <c r="W61" s="500"/>
      <c r="X61" s="500">
        <f t="shared" si="5"/>
        <v>0</v>
      </c>
      <c r="Y61" s="7"/>
      <c r="Z61" s="12"/>
      <c r="AA61" s="17"/>
      <c r="AB61" s="2">
        <f t="shared" si="6"/>
        <v>0</v>
      </c>
      <c r="AC61" s="21">
        <f t="shared" si="21"/>
        <v>0</v>
      </c>
      <c r="AD61" s="380">
        <f t="shared" si="15"/>
        <v>0</v>
      </c>
      <c r="AE61" s="380">
        <f t="shared" si="16"/>
        <v>0</v>
      </c>
      <c r="AF61" s="381">
        <f t="shared" si="8"/>
        <v>0</v>
      </c>
      <c r="AG61" s="380">
        <f t="shared" si="17"/>
        <v>0</v>
      </c>
      <c r="AH61" s="380">
        <f t="shared" si="18"/>
        <v>0</v>
      </c>
      <c r="AI61" s="380">
        <f>IF(AD61&lt;=0,0,AD61*IF('Simulador 7x5'!$Y$81=1,0,'Simulador 7x5'!$U$75))+IF(AD61&lt;=0,0,IF('Simulador 7x5'!$T$41=1,'Simulador 7x5'!$E$55,'Simulador 7x5'!$G$55))</f>
        <v>0</v>
      </c>
      <c r="AJ61" s="380">
        <f t="shared" si="0"/>
        <v>0</v>
      </c>
      <c r="AK61" s="109">
        <f t="shared" si="9"/>
        <v>0</v>
      </c>
      <c r="AM61" s="141">
        <v>3</v>
      </c>
      <c r="AN61" s="140">
        <v>9</v>
      </c>
      <c r="AO61" s="329">
        <f t="shared" si="10"/>
        <v>0</v>
      </c>
      <c r="AP61" s="329">
        <f t="shared" si="11"/>
        <v>0</v>
      </c>
      <c r="AQ61" s="20">
        <f t="shared" si="12"/>
        <v>0</v>
      </c>
      <c r="AR61" s="36"/>
      <c r="AS61">
        <f t="shared" si="19"/>
        <v>0</v>
      </c>
      <c r="AT61" s="384">
        <f t="shared" si="20"/>
      </c>
      <c r="AU61" s="385">
        <f t="shared" si="13"/>
        <v>0</v>
      </c>
      <c r="AV61" s="36">
        <v>45</v>
      </c>
    </row>
    <row r="62" spans="1:48" ht="12.75">
      <c r="A62" s="443">
        <v>46</v>
      </c>
      <c r="B62" s="498">
        <f t="shared" si="1"/>
        <v>0</v>
      </c>
      <c r="C62" s="499"/>
      <c r="D62" s="498">
        <f>IF(B62+F62-D61&lt;=0,B62+F62,IF(A62=$B$9,$F$9,IF(A62=$B$10,$F$10,IF(AND('Simulador 7x5'!$AD$45=2,L61=0),D61*(1+Z62),IF($AN$3=2,B62*AK62,D61*(1+Z62))))))</f>
        <v>0</v>
      </c>
      <c r="E62" s="500"/>
      <c r="F62" s="500">
        <f t="shared" si="2"/>
        <v>0</v>
      </c>
      <c r="G62" s="500"/>
      <c r="H62" s="500">
        <f t="shared" si="14"/>
        <v>0</v>
      </c>
      <c r="I62" s="501"/>
      <c r="J62" s="505">
        <f>IF(B62-H62=0,0,J60)</f>
        <v>0</v>
      </c>
      <c r="K62" s="501"/>
      <c r="L62" s="502"/>
      <c r="M62" s="501"/>
      <c r="N62" s="500">
        <v>0</v>
      </c>
      <c r="O62" s="6"/>
      <c r="P62" s="457">
        <f t="shared" si="3"/>
        <v>0</v>
      </c>
      <c r="Q62" s="1"/>
      <c r="R62" s="500">
        <f t="shared" si="4"/>
        <v>0</v>
      </c>
      <c r="S62" s="500"/>
      <c r="T62" s="500">
        <f>IF(B62&lt;=0,0,B62*IF('Simulador 7x5'!$Y$81=1,0,'Simulador 7x5'!$U$75))</f>
        <v>0</v>
      </c>
      <c r="U62" s="500"/>
      <c r="V62" s="513">
        <f>IF(B62&lt;=0,0,IF('Simulador 7x5'!$T$41=1,'Simulador 7x5'!$E$55,'Simulador 7x5'!$G$55))</f>
        <v>0</v>
      </c>
      <c r="W62" s="500"/>
      <c r="X62" s="500">
        <f t="shared" si="5"/>
        <v>0</v>
      </c>
      <c r="Y62" s="7"/>
      <c r="Z62" s="12"/>
      <c r="AA62" s="17"/>
      <c r="AB62" s="2">
        <f t="shared" si="6"/>
        <v>0</v>
      </c>
      <c r="AC62" s="21">
        <f t="shared" si="21"/>
        <v>0</v>
      </c>
      <c r="AD62" s="380">
        <f t="shared" si="15"/>
        <v>0</v>
      </c>
      <c r="AE62" s="380">
        <f t="shared" si="16"/>
        <v>0</v>
      </c>
      <c r="AF62" s="381">
        <f t="shared" si="8"/>
        <v>0</v>
      </c>
      <c r="AG62" s="380">
        <f t="shared" si="17"/>
        <v>0</v>
      </c>
      <c r="AH62" s="380">
        <f t="shared" si="18"/>
        <v>0</v>
      </c>
      <c r="AI62" s="380">
        <f>IF(AD62&lt;=0,0,AD62*IF('Simulador 7x5'!$Y$81=1,0,'Simulador 7x5'!$U$75))+IF(AD62&lt;=0,0,IF('Simulador 7x5'!$T$41=1,'Simulador 7x5'!$E$55,'Simulador 7x5'!$G$55))</f>
        <v>0</v>
      </c>
      <c r="AJ62" s="380">
        <f t="shared" si="0"/>
        <v>0</v>
      </c>
      <c r="AK62" s="109">
        <f t="shared" si="9"/>
        <v>0</v>
      </c>
      <c r="AM62" s="141">
        <v>3</v>
      </c>
      <c r="AN62" s="140">
        <v>10</v>
      </c>
      <c r="AO62" s="329">
        <f t="shared" si="10"/>
        <v>0</v>
      </c>
      <c r="AP62" s="329">
        <f t="shared" si="11"/>
        <v>0</v>
      </c>
      <c r="AQ62" s="20">
        <f t="shared" si="12"/>
        <v>0</v>
      </c>
      <c r="AR62" s="36"/>
      <c r="AS62">
        <f t="shared" si="19"/>
        <v>0</v>
      </c>
      <c r="AT62" s="384">
        <f t="shared" si="20"/>
      </c>
      <c r="AU62" s="385">
        <f t="shared" si="13"/>
        <v>0</v>
      </c>
      <c r="AV62" s="36">
        <v>46</v>
      </c>
    </row>
    <row r="63" spans="1:48" ht="12.75">
      <c r="A63" s="443">
        <v>47</v>
      </c>
      <c r="B63" s="498">
        <f t="shared" si="1"/>
        <v>0</v>
      </c>
      <c r="C63" s="499"/>
      <c r="D63" s="498">
        <f>IF(B63+F63-D62&lt;=0,B63+F63,IF(A63=$B$9,$F$9,IF(A63=$B$10,$F$10,IF(AND('Simulador 7x5'!$AD$45=2,L62=0),D62*(1+Z63),IF($AN$3=2,B63*AK63,D62*(1+Z63))))))</f>
        <v>0</v>
      </c>
      <c r="E63" s="500"/>
      <c r="F63" s="500">
        <f t="shared" si="2"/>
        <v>0</v>
      </c>
      <c r="G63" s="500"/>
      <c r="H63" s="500">
        <f t="shared" si="14"/>
        <v>0</v>
      </c>
      <c r="I63" s="501"/>
      <c r="J63" s="506"/>
      <c r="K63" s="501"/>
      <c r="L63" s="502"/>
      <c r="M63" s="501"/>
      <c r="N63" s="500">
        <v>0</v>
      </c>
      <c r="O63" s="6"/>
      <c r="P63" s="457">
        <f t="shared" si="3"/>
        <v>0</v>
      </c>
      <c r="Q63" s="1"/>
      <c r="R63" s="500">
        <f t="shared" si="4"/>
        <v>0</v>
      </c>
      <c r="S63" s="500"/>
      <c r="T63" s="500">
        <f>IF(B63&lt;=0,0,B63*IF('Simulador 7x5'!$Y$81=1,0,'Simulador 7x5'!$U$75))</f>
        <v>0</v>
      </c>
      <c r="U63" s="500"/>
      <c r="V63" s="513">
        <f>IF(B63&lt;=0,0,IF('Simulador 7x5'!$T$41=1,'Simulador 7x5'!$E$55,'Simulador 7x5'!$G$55))</f>
        <v>0</v>
      </c>
      <c r="W63" s="500"/>
      <c r="X63" s="500">
        <f t="shared" si="5"/>
        <v>0</v>
      </c>
      <c r="Y63" s="7"/>
      <c r="Z63" s="12"/>
      <c r="AA63" s="17"/>
      <c r="AB63" s="2">
        <f t="shared" si="6"/>
        <v>0</v>
      </c>
      <c r="AC63" s="21">
        <f t="shared" si="21"/>
        <v>0</v>
      </c>
      <c r="AD63" s="380">
        <f t="shared" si="15"/>
        <v>0</v>
      </c>
      <c r="AE63" s="380">
        <f t="shared" si="16"/>
        <v>0</v>
      </c>
      <c r="AF63" s="381">
        <f t="shared" si="8"/>
        <v>0</v>
      </c>
      <c r="AG63" s="380">
        <f t="shared" si="17"/>
        <v>0</v>
      </c>
      <c r="AH63" s="380">
        <f t="shared" si="18"/>
        <v>0</v>
      </c>
      <c r="AI63" s="380">
        <f>IF(AD63&lt;=0,0,AD63*IF('Simulador 7x5'!$Y$81=1,0,'Simulador 7x5'!$U$75))+IF(AD63&lt;=0,0,IF('Simulador 7x5'!$T$41=1,'Simulador 7x5'!$E$55,'Simulador 7x5'!$G$55))</f>
        <v>0</v>
      </c>
      <c r="AJ63" s="380">
        <f t="shared" si="0"/>
        <v>0</v>
      </c>
      <c r="AK63" s="109">
        <f t="shared" si="9"/>
        <v>0</v>
      </c>
      <c r="AM63" s="141">
        <v>3</v>
      </c>
      <c r="AN63" s="2">
        <v>11</v>
      </c>
      <c r="AO63" s="329">
        <f t="shared" si="10"/>
        <v>0</v>
      </c>
      <c r="AP63" s="329">
        <f t="shared" si="11"/>
        <v>0</v>
      </c>
      <c r="AQ63" s="20">
        <f t="shared" si="12"/>
        <v>0</v>
      </c>
      <c r="AR63" s="36"/>
      <c r="AS63">
        <f t="shared" si="19"/>
        <v>0</v>
      </c>
      <c r="AT63" s="384">
        <f t="shared" si="20"/>
      </c>
      <c r="AU63" s="385">
        <f t="shared" si="13"/>
        <v>0</v>
      </c>
      <c r="AV63" s="36">
        <v>47</v>
      </c>
    </row>
    <row r="64" spans="1:48" ht="12.75">
      <c r="A64" s="443">
        <v>48</v>
      </c>
      <c r="B64" s="498">
        <f t="shared" si="1"/>
        <v>0</v>
      </c>
      <c r="C64" s="499"/>
      <c r="D64" s="498">
        <f>IF(B64+F64-D63&lt;=0,B64+F64,IF(A64=$B$9,$F$9,IF(A64=$B$10,$F$10,IF(AND('Simulador 7x5'!$AD$45=2,L63=0),D63*(1+Z64),IF($AN$3=2,B64*AK64,D63*(1+Z64))))))</f>
        <v>0</v>
      </c>
      <c r="E64" s="500"/>
      <c r="F64" s="500">
        <f t="shared" si="2"/>
        <v>0</v>
      </c>
      <c r="G64" s="500"/>
      <c r="H64" s="500">
        <f t="shared" si="14"/>
        <v>0</v>
      </c>
      <c r="I64" s="501"/>
      <c r="J64" s="505">
        <f>IF(B64-H64=0,0,J62)</f>
        <v>0</v>
      </c>
      <c r="K64" s="501"/>
      <c r="L64" s="502"/>
      <c r="M64" s="501"/>
      <c r="N64" s="500">
        <v>0</v>
      </c>
      <c r="O64" s="6"/>
      <c r="P64" s="457">
        <f t="shared" si="3"/>
        <v>0</v>
      </c>
      <c r="Q64" s="1"/>
      <c r="R64" s="500">
        <f t="shared" si="4"/>
        <v>0</v>
      </c>
      <c r="S64" s="500"/>
      <c r="T64" s="500">
        <f>IF(B64&lt;=0,0,B64*IF('Simulador 7x5'!$Y$81=1,0,'Simulador 7x5'!$U$75))</f>
        <v>0</v>
      </c>
      <c r="U64" s="500"/>
      <c r="V64" s="513">
        <f>IF(B64&lt;=0,0,IF('Simulador 7x5'!$T$41=1,'Simulador 7x5'!$E$55,'Simulador 7x5'!$G$55))</f>
        <v>0</v>
      </c>
      <c r="W64" s="500"/>
      <c r="X64" s="500">
        <f t="shared" si="5"/>
        <v>0</v>
      </c>
      <c r="Y64" s="7"/>
      <c r="Z64" s="12"/>
      <c r="AA64" s="17"/>
      <c r="AB64" s="2">
        <f t="shared" si="6"/>
        <v>0</v>
      </c>
      <c r="AC64" s="21">
        <f t="shared" si="21"/>
        <v>0</v>
      </c>
      <c r="AD64" s="380">
        <f t="shared" si="15"/>
        <v>0</v>
      </c>
      <c r="AE64" s="380">
        <f t="shared" si="16"/>
        <v>0</v>
      </c>
      <c r="AF64" s="381">
        <f t="shared" si="8"/>
        <v>0</v>
      </c>
      <c r="AG64" s="380">
        <f t="shared" si="17"/>
        <v>0</v>
      </c>
      <c r="AH64" s="380">
        <f t="shared" si="18"/>
        <v>0</v>
      </c>
      <c r="AI64" s="380">
        <f>IF(AD64&lt;=0,0,AD64*IF('Simulador 7x5'!$Y$81=1,0,'Simulador 7x5'!$U$75))+IF(AD64&lt;=0,0,IF('Simulador 7x5'!$T$41=1,'Simulador 7x5'!$E$55,'Simulador 7x5'!$G$55))</f>
        <v>0</v>
      </c>
      <c r="AJ64" s="380">
        <f t="shared" si="0"/>
        <v>0</v>
      </c>
      <c r="AK64" s="109">
        <f t="shared" si="9"/>
        <v>0</v>
      </c>
      <c r="AM64" s="141">
        <v>4</v>
      </c>
      <c r="AN64" s="2">
        <v>0</v>
      </c>
      <c r="AO64" s="329">
        <f t="shared" si="10"/>
        <v>0</v>
      </c>
      <c r="AP64" s="329">
        <f t="shared" si="11"/>
        <v>0</v>
      </c>
      <c r="AQ64" s="20">
        <f t="shared" si="12"/>
        <v>0</v>
      </c>
      <c r="AR64" s="36"/>
      <c r="AS64">
        <f t="shared" si="19"/>
        <v>0</v>
      </c>
      <c r="AT64" s="384">
        <f t="shared" si="20"/>
      </c>
      <c r="AU64" s="385">
        <f t="shared" si="13"/>
        <v>0</v>
      </c>
      <c r="AV64" s="36">
        <v>48</v>
      </c>
    </row>
    <row r="65" spans="1:48" ht="12.75">
      <c r="A65" s="443">
        <v>49</v>
      </c>
      <c r="B65" s="498">
        <f t="shared" si="1"/>
        <v>0</v>
      </c>
      <c r="C65" s="499"/>
      <c r="D65" s="498">
        <f>IF(B65+F65-D64&lt;=0,B65+F65,IF(A65=$B$9,$F$9,IF(A65=$B$10,$F$10,IF(AND('Simulador 7x5'!$AD$45=2,L64=0),D64*(1+Z65),IF($AN$3=2,B65*AK65,D64*(1+Z65))))))</f>
        <v>0</v>
      </c>
      <c r="E65" s="500"/>
      <c r="F65" s="500">
        <f t="shared" si="2"/>
        <v>0</v>
      </c>
      <c r="G65" s="500"/>
      <c r="H65" s="500">
        <f t="shared" si="14"/>
        <v>0</v>
      </c>
      <c r="I65" s="501"/>
      <c r="J65" s="506"/>
      <c r="K65" s="501"/>
      <c r="L65" s="502"/>
      <c r="M65" s="501"/>
      <c r="N65" s="500">
        <v>0</v>
      </c>
      <c r="O65" s="6"/>
      <c r="P65" s="457">
        <f t="shared" si="3"/>
        <v>0</v>
      </c>
      <c r="Q65" s="1"/>
      <c r="R65" s="500">
        <f t="shared" si="4"/>
        <v>0</v>
      </c>
      <c r="S65" s="500"/>
      <c r="T65" s="500">
        <f>IF(B65&lt;=0,0,B65*IF('Simulador 7x5'!$Y$81=1,0,'Simulador 7x5'!$U$75))</f>
        <v>0</v>
      </c>
      <c r="U65" s="500"/>
      <c r="V65" s="513">
        <f>IF(B65&lt;=0,0,IF('Simulador 7x5'!$T$41=1,'Simulador 7x5'!$E$55,'Simulador 7x5'!$G$55))</f>
        <v>0</v>
      </c>
      <c r="W65" s="500"/>
      <c r="X65" s="500">
        <f t="shared" si="5"/>
        <v>0</v>
      </c>
      <c r="Y65" s="7"/>
      <c r="Z65" s="12">
        <f>IF(B65&lt;=0,0,'Simulador 7x5'!$AE$54)</f>
        <v>0</v>
      </c>
      <c r="AA65" s="17"/>
      <c r="AB65" s="2">
        <f t="shared" si="6"/>
        <v>0</v>
      </c>
      <c r="AC65" s="21">
        <f t="shared" si="21"/>
        <v>0</v>
      </c>
      <c r="AD65" s="380">
        <f t="shared" si="15"/>
        <v>0</v>
      </c>
      <c r="AE65" s="380">
        <f t="shared" si="16"/>
        <v>0</v>
      </c>
      <c r="AF65" s="381">
        <f t="shared" si="8"/>
        <v>0</v>
      </c>
      <c r="AG65" s="380">
        <f t="shared" si="17"/>
        <v>0</v>
      </c>
      <c r="AH65" s="380">
        <f t="shared" si="18"/>
        <v>0</v>
      </c>
      <c r="AI65" s="380">
        <f>IF(AD65&lt;=0,0,AD65*IF('Simulador 7x5'!$Y$81=1,0,'Simulador 7x5'!$U$75))+IF(AD65&lt;=0,0,IF('Simulador 7x5'!$T$41=1,'Simulador 7x5'!$E$55,'Simulador 7x5'!$G$55))</f>
        <v>0</v>
      </c>
      <c r="AJ65" s="380">
        <f t="shared" si="0"/>
        <v>0</v>
      </c>
      <c r="AK65" s="109">
        <f t="shared" si="9"/>
        <v>0</v>
      </c>
      <c r="AM65" s="141">
        <v>4</v>
      </c>
      <c r="AN65" s="2">
        <v>1</v>
      </c>
      <c r="AO65" s="329">
        <f t="shared" si="10"/>
        <v>0</v>
      </c>
      <c r="AP65" s="329">
        <f t="shared" si="11"/>
        <v>0</v>
      </c>
      <c r="AQ65" s="20">
        <f t="shared" si="12"/>
        <v>0</v>
      </c>
      <c r="AR65" s="36"/>
      <c r="AS65">
        <f t="shared" si="19"/>
        <v>0</v>
      </c>
      <c r="AT65" s="384">
        <f t="shared" si="20"/>
      </c>
      <c r="AU65" s="385">
        <f t="shared" si="13"/>
        <v>0</v>
      </c>
      <c r="AV65" s="36">
        <v>49</v>
      </c>
    </row>
    <row r="66" spans="1:48" ht="12.75">
      <c r="A66" s="443">
        <v>50</v>
      </c>
      <c r="B66" s="498">
        <f t="shared" si="1"/>
        <v>0</v>
      </c>
      <c r="C66" s="499"/>
      <c r="D66" s="498">
        <f>IF(B66+F66-D65&lt;=0,B66+F66,IF(A66=$B$9,$F$9,IF(A66=$B$10,$F$10,IF(AND('Simulador 7x5'!$AD$45=2,L65=0),D65*(1+Z66),IF($AN$3=2,B66*AK66,D65*(1+Z66))))))</f>
        <v>0</v>
      </c>
      <c r="E66" s="500"/>
      <c r="F66" s="500">
        <f t="shared" si="2"/>
        <v>0</v>
      </c>
      <c r="G66" s="500"/>
      <c r="H66" s="500">
        <f t="shared" si="14"/>
        <v>0</v>
      </c>
      <c r="I66" s="501"/>
      <c r="J66" s="505">
        <f>IF(B66-H66=0,0,J64*(1+(3%)))</f>
        <v>0</v>
      </c>
      <c r="K66" s="501"/>
      <c r="L66" s="502"/>
      <c r="M66" s="501"/>
      <c r="N66" s="500">
        <v>0</v>
      </c>
      <c r="O66" s="6"/>
      <c r="P66" s="457">
        <f t="shared" si="3"/>
        <v>0</v>
      </c>
      <c r="Q66" s="1"/>
      <c r="R66" s="500">
        <f t="shared" si="4"/>
        <v>0</v>
      </c>
      <c r="S66" s="500"/>
      <c r="T66" s="500">
        <f>IF(B66&lt;=0,0,B66*IF('Simulador 7x5'!$Y$81=1,0,'Simulador 7x5'!$U$75))</f>
        <v>0</v>
      </c>
      <c r="U66" s="500"/>
      <c r="V66" s="513">
        <f>IF(B66&lt;=0,0,IF('Simulador 7x5'!$T$41=1,'Simulador 7x5'!$E$55,'Simulador 7x5'!$G$55))</f>
        <v>0</v>
      </c>
      <c r="W66" s="500"/>
      <c r="X66" s="500">
        <f t="shared" si="5"/>
        <v>0</v>
      </c>
      <c r="Y66" s="7"/>
      <c r="Z66" s="12"/>
      <c r="AA66" s="17"/>
      <c r="AB66" s="2">
        <f t="shared" si="6"/>
        <v>0</v>
      </c>
      <c r="AC66" s="21">
        <f t="shared" si="21"/>
        <v>0</v>
      </c>
      <c r="AD66" s="380">
        <f t="shared" si="15"/>
        <v>0</v>
      </c>
      <c r="AE66" s="380">
        <f t="shared" si="16"/>
        <v>0</v>
      </c>
      <c r="AF66" s="381">
        <f t="shared" si="8"/>
        <v>0</v>
      </c>
      <c r="AG66" s="380">
        <f t="shared" si="17"/>
        <v>0</v>
      </c>
      <c r="AH66" s="380">
        <f t="shared" si="18"/>
        <v>0</v>
      </c>
      <c r="AI66" s="380">
        <f>IF(AD66&lt;=0,0,AD66*IF('Simulador 7x5'!$Y$81=1,0,'Simulador 7x5'!$U$75))+IF(AD66&lt;=0,0,IF('Simulador 7x5'!$T$41=1,'Simulador 7x5'!$E$55,'Simulador 7x5'!$G$55))</f>
        <v>0</v>
      </c>
      <c r="AJ66" s="380">
        <f t="shared" si="0"/>
        <v>0</v>
      </c>
      <c r="AK66" s="109">
        <f t="shared" si="9"/>
        <v>0</v>
      </c>
      <c r="AM66" s="141">
        <v>4</v>
      </c>
      <c r="AN66" s="139">
        <v>2</v>
      </c>
      <c r="AO66" s="329">
        <f t="shared" si="10"/>
        <v>0</v>
      </c>
      <c r="AP66" s="329">
        <f t="shared" si="11"/>
        <v>0</v>
      </c>
      <c r="AQ66" s="20">
        <f t="shared" si="12"/>
        <v>0</v>
      </c>
      <c r="AR66" s="36"/>
      <c r="AS66">
        <f t="shared" si="19"/>
        <v>0</v>
      </c>
      <c r="AT66" s="384">
        <f t="shared" si="20"/>
      </c>
      <c r="AU66" s="385">
        <f t="shared" si="13"/>
        <v>0</v>
      </c>
      <c r="AV66" s="36">
        <v>50</v>
      </c>
    </row>
    <row r="67" spans="1:48" ht="12.75">
      <c r="A67" s="443">
        <v>51</v>
      </c>
      <c r="B67" s="498">
        <f t="shared" si="1"/>
        <v>0</v>
      </c>
      <c r="C67" s="499"/>
      <c r="D67" s="498">
        <f>IF(B67+F67-D66&lt;=0,B67+F67,IF(A67=$B$9,$F$9,IF(A67=$B$10,$F$10,IF(AND('Simulador 7x5'!$AD$45=2,L66=0),D66*(1+Z67),IF($AN$3=2,B67*AK67,D66*(1+Z67))))))</f>
        <v>0</v>
      </c>
      <c r="E67" s="500"/>
      <c r="F67" s="500">
        <f t="shared" si="2"/>
        <v>0</v>
      </c>
      <c r="G67" s="500"/>
      <c r="H67" s="500">
        <f t="shared" si="14"/>
        <v>0</v>
      </c>
      <c r="I67" s="501"/>
      <c r="J67" s="506"/>
      <c r="K67" s="501"/>
      <c r="L67" s="502"/>
      <c r="M67" s="501"/>
      <c r="N67" s="500">
        <v>0</v>
      </c>
      <c r="O67" s="6"/>
      <c r="P67" s="457">
        <f t="shared" si="3"/>
        <v>0</v>
      </c>
      <c r="Q67" s="1"/>
      <c r="R67" s="500">
        <f t="shared" si="4"/>
        <v>0</v>
      </c>
      <c r="S67" s="500"/>
      <c r="T67" s="500">
        <f>IF(B67&lt;=0,0,B67*IF('Simulador 7x5'!$Y$81=1,0,'Simulador 7x5'!$U$75))</f>
        <v>0</v>
      </c>
      <c r="U67" s="500"/>
      <c r="V67" s="513">
        <f>IF(B67&lt;=0,0,IF('Simulador 7x5'!$T$41=1,'Simulador 7x5'!$E$55,'Simulador 7x5'!$G$55))</f>
        <v>0</v>
      </c>
      <c r="W67" s="500"/>
      <c r="X67" s="500">
        <f t="shared" si="5"/>
        <v>0</v>
      </c>
      <c r="Y67" s="7"/>
      <c r="Z67" s="12"/>
      <c r="AA67" s="17"/>
      <c r="AB67" s="2">
        <f t="shared" si="6"/>
        <v>0</v>
      </c>
      <c r="AC67" s="21">
        <f t="shared" si="21"/>
        <v>0</v>
      </c>
      <c r="AD67" s="380">
        <f t="shared" si="15"/>
        <v>0</v>
      </c>
      <c r="AE67" s="380">
        <f t="shared" si="16"/>
        <v>0</v>
      </c>
      <c r="AF67" s="381">
        <f t="shared" si="8"/>
        <v>0</v>
      </c>
      <c r="AG67" s="380">
        <f t="shared" si="17"/>
        <v>0</v>
      </c>
      <c r="AH67" s="380">
        <f t="shared" si="18"/>
        <v>0</v>
      </c>
      <c r="AI67" s="380">
        <f>IF(AD67&lt;=0,0,AD67*IF('Simulador 7x5'!$Y$81=1,0,'Simulador 7x5'!$U$75))+IF(AD67&lt;=0,0,IF('Simulador 7x5'!$T$41=1,'Simulador 7x5'!$E$55,'Simulador 7x5'!$G$55))</f>
        <v>0</v>
      </c>
      <c r="AJ67" s="380">
        <f t="shared" si="0"/>
        <v>0</v>
      </c>
      <c r="AK67" s="109">
        <f t="shared" si="9"/>
        <v>0</v>
      </c>
      <c r="AM67" s="141">
        <v>4</v>
      </c>
      <c r="AN67" s="139">
        <v>3</v>
      </c>
      <c r="AO67" s="329">
        <f t="shared" si="10"/>
        <v>0</v>
      </c>
      <c r="AP67" s="329">
        <f t="shared" si="11"/>
        <v>0</v>
      </c>
      <c r="AQ67" s="20">
        <f t="shared" si="12"/>
        <v>0</v>
      </c>
      <c r="AR67" s="36"/>
      <c r="AS67">
        <f t="shared" si="19"/>
        <v>0</v>
      </c>
      <c r="AT67" s="384">
        <f t="shared" si="20"/>
      </c>
      <c r="AU67" s="385">
        <f t="shared" si="13"/>
        <v>0</v>
      </c>
      <c r="AV67" s="36">
        <v>51</v>
      </c>
    </row>
    <row r="68" spans="1:48" ht="12.75">
      <c r="A68" s="443">
        <v>52</v>
      </c>
      <c r="B68" s="498">
        <f t="shared" si="1"/>
        <v>0</v>
      </c>
      <c r="C68" s="499"/>
      <c r="D68" s="498">
        <f>IF(B68+F68-D67&lt;=0,B68+F68,IF(A68=$B$9,$F$9,IF(A68=$B$10,$F$10,IF(AND('Simulador 7x5'!$AD$45=2,L67=0),D67*(1+Z68),IF($AN$3=2,B68*AK68,D67*(1+Z68))))))</f>
        <v>0</v>
      </c>
      <c r="E68" s="500"/>
      <c r="F68" s="500">
        <f t="shared" si="2"/>
        <v>0</v>
      </c>
      <c r="G68" s="500"/>
      <c r="H68" s="500">
        <f t="shared" si="14"/>
        <v>0</v>
      </c>
      <c r="I68" s="501"/>
      <c r="J68" s="505">
        <f>IF(B68-H68=0,0,J66)</f>
        <v>0</v>
      </c>
      <c r="K68" s="501"/>
      <c r="L68" s="502"/>
      <c r="M68" s="501"/>
      <c r="N68" s="500">
        <v>0</v>
      </c>
      <c r="O68" s="6"/>
      <c r="P68" s="457">
        <f t="shared" si="3"/>
        <v>0</v>
      </c>
      <c r="Q68" s="1"/>
      <c r="R68" s="500">
        <f t="shared" si="4"/>
        <v>0</v>
      </c>
      <c r="S68" s="500"/>
      <c r="T68" s="500">
        <f>IF(B68&lt;=0,0,B68*IF('Simulador 7x5'!$Y$81=1,0,'Simulador 7x5'!$U$75))</f>
        <v>0</v>
      </c>
      <c r="U68" s="500"/>
      <c r="V68" s="513">
        <f>IF(B68&lt;=0,0,IF('Simulador 7x5'!$T$41=1,'Simulador 7x5'!$E$55,'Simulador 7x5'!$G$55))</f>
        <v>0</v>
      </c>
      <c r="W68" s="500"/>
      <c r="X68" s="500">
        <f t="shared" si="5"/>
        <v>0</v>
      </c>
      <c r="Y68" s="7"/>
      <c r="Z68" s="12"/>
      <c r="AA68" s="17"/>
      <c r="AB68" s="2">
        <f t="shared" si="6"/>
        <v>0</v>
      </c>
      <c r="AC68" s="21">
        <f t="shared" si="21"/>
        <v>0</v>
      </c>
      <c r="AD68" s="380">
        <f t="shared" si="15"/>
        <v>0</v>
      </c>
      <c r="AE68" s="380">
        <f t="shared" si="16"/>
        <v>0</v>
      </c>
      <c r="AF68" s="381">
        <f t="shared" si="8"/>
        <v>0</v>
      </c>
      <c r="AG68" s="380">
        <f t="shared" si="17"/>
        <v>0</v>
      </c>
      <c r="AH68" s="380">
        <f t="shared" si="18"/>
        <v>0</v>
      </c>
      <c r="AI68" s="380">
        <f>IF(AD68&lt;=0,0,AD68*IF('Simulador 7x5'!$Y$81=1,0,'Simulador 7x5'!$U$75))+IF(AD68&lt;=0,0,IF('Simulador 7x5'!$T$41=1,'Simulador 7x5'!$E$55,'Simulador 7x5'!$G$55))</f>
        <v>0</v>
      </c>
      <c r="AJ68" s="380">
        <f t="shared" si="0"/>
        <v>0</v>
      </c>
      <c r="AK68" s="109">
        <f t="shared" si="9"/>
        <v>0</v>
      </c>
      <c r="AM68" s="141">
        <v>4</v>
      </c>
      <c r="AN68" s="2">
        <v>4</v>
      </c>
      <c r="AO68" s="329">
        <f t="shared" si="10"/>
        <v>0</v>
      </c>
      <c r="AP68" s="329">
        <f t="shared" si="11"/>
        <v>0</v>
      </c>
      <c r="AQ68" s="20">
        <f t="shared" si="12"/>
        <v>0</v>
      </c>
      <c r="AR68" s="36"/>
      <c r="AS68">
        <f t="shared" si="19"/>
        <v>0</v>
      </c>
      <c r="AT68" s="384">
        <f t="shared" si="20"/>
      </c>
      <c r="AU68" s="385">
        <f t="shared" si="13"/>
        <v>0</v>
      </c>
      <c r="AV68" s="36">
        <v>52</v>
      </c>
    </row>
    <row r="69" spans="1:48" ht="12.75">
      <c r="A69" s="443">
        <v>53</v>
      </c>
      <c r="B69" s="498">
        <f t="shared" si="1"/>
        <v>0</v>
      </c>
      <c r="C69" s="499"/>
      <c r="D69" s="498">
        <f>IF(B69+F69-D68&lt;=0,B69+F69,IF(A69=$B$9,$F$9,IF(A69=$B$10,$F$10,IF(AND('Simulador 7x5'!$AD$45=2,L68=0),D68*(1+Z69),IF($AN$3=2,B69*AK69,D68*(1+Z69))))))</f>
        <v>0</v>
      </c>
      <c r="E69" s="500"/>
      <c r="F69" s="500">
        <f t="shared" si="2"/>
        <v>0</v>
      </c>
      <c r="G69" s="500"/>
      <c r="H69" s="500">
        <f t="shared" si="14"/>
        <v>0</v>
      </c>
      <c r="I69" s="501"/>
      <c r="J69" s="506"/>
      <c r="K69" s="501"/>
      <c r="L69" s="502"/>
      <c r="M69" s="501"/>
      <c r="N69" s="500">
        <v>0</v>
      </c>
      <c r="O69" s="6"/>
      <c r="P69" s="457">
        <f t="shared" si="3"/>
        <v>0</v>
      </c>
      <c r="Q69" s="1"/>
      <c r="R69" s="500">
        <f t="shared" si="4"/>
        <v>0</v>
      </c>
      <c r="S69" s="500"/>
      <c r="T69" s="500">
        <f>IF(B69&lt;=0,0,B69*IF('Simulador 7x5'!$Y$81=1,0,'Simulador 7x5'!$U$75))</f>
        <v>0</v>
      </c>
      <c r="U69" s="500"/>
      <c r="V69" s="513">
        <f>IF(B69&lt;=0,0,IF('Simulador 7x5'!$T$41=1,'Simulador 7x5'!$E$55,'Simulador 7x5'!$G$55))</f>
        <v>0</v>
      </c>
      <c r="W69" s="500"/>
      <c r="X69" s="500">
        <f t="shared" si="5"/>
        <v>0</v>
      </c>
      <c r="Y69" s="7"/>
      <c r="Z69" s="12"/>
      <c r="AA69" s="17"/>
      <c r="AB69" s="2">
        <f t="shared" si="6"/>
        <v>0</v>
      </c>
      <c r="AC69" s="21">
        <f t="shared" si="21"/>
        <v>0</v>
      </c>
      <c r="AD69" s="380">
        <f t="shared" si="15"/>
        <v>0</v>
      </c>
      <c r="AE69" s="380">
        <f t="shared" si="16"/>
        <v>0</v>
      </c>
      <c r="AF69" s="381">
        <f t="shared" si="8"/>
        <v>0</v>
      </c>
      <c r="AG69" s="380">
        <f t="shared" si="17"/>
        <v>0</v>
      </c>
      <c r="AH69" s="380">
        <f t="shared" si="18"/>
        <v>0</v>
      </c>
      <c r="AI69" s="380">
        <f>IF(AD69&lt;=0,0,AD69*IF('Simulador 7x5'!$Y$81=1,0,'Simulador 7x5'!$U$75))+IF(AD69&lt;=0,0,IF('Simulador 7x5'!$T$41=1,'Simulador 7x5'!$E$55,'Simulador 7x5'!$G$55))</f>
        <v>0</v>
      </c>
      <c r="AJ69" s="380">
        <f t="shared" si="0"/>
        <v>0</v>
      </c>
      <c r="AK69" s="109">
        <f t="shared" si="9"/>
        <v>0</v>
      </c>
      <c r="AM69" s="141">
        <v>4</v>
      </c>
      <c r="AN69" s="2">
        <v>5</v>
      </c>
      <c r="AO69" s="329">
        <f t="shared" si="10"/>
        <v>0</v>
      </c>
      <c r="AP69" s="329">
        <f t="shared" si="11"/>
        <v>0</v>
      </c>
      <c r="AQ69" s="20">
        <f t="shared" si="12"/>
        <v>0</v>
      </c>
      <c r="AR69" s="36"/>
      <c r="AS69">
        <f t="shared" si="19"/>
        <v>0</v>
      </c>
      <c r="AT69" s="384">
        <f t="shared" si="20"/>
      </c>
      <c r="AU69" s="385">
        <f t="shared" si="13"/>
        <v>0</v>
      </c>
      <c r="AV69" s="36">
        <v>53</v>
      </c>
    </row>
    <row r="70" spans="1:48" ht="12.75">
      <c r="A70" s="443">
        <v>54</v>
      </c>
      <c r="B70" s="498">
        <f t="shared" si="1"/>
        <v>0</v>
      </c>
      <c r="C70" s="499"/>
      <c r="D70" s="498">
        <f>IF(B70+F70-D69&lt;=0,B70+F70,IF(A70=$B$9,$F$9,IF(A70=$B$10,$F$10,IF(AND('Simulador 7x5'!$AD$45=2,L69=0),D69*(1+Z70),IF($AN$3=2,B70*AK70,D69*(1+Z70))))))</f>
        <v>0</v>
      </c>
      <c r="E70" s="500"/>
      <c r="F70" s="500">
        <f t="shared" si="2"/>
        <v>0</v>
      </c>
      <c r="G70" s="500"/>
      <c r="H70" s="500">
        <f t="shared" si="14"/>
        <v>0</v>
      </c>
      <c r="I70" s="501"/>
      <c r="J70" s="505">
        <f>IF(B70-H70=0,0,J68)</f>
        <v>0</v>
      </c>
      <c r="K70" s="501"/>
      <c r="L70" s="502"/>
      <c r="M70" s="501"/>
      <c r="N70" s="500">
        <v>0</v>
      </c>
      <c r="O70" s="6"/>
      <c r="P70" s="457">
        <f t="shared" si="3"/>
        <v>0</v>
      </c>
      <c r="Q70" s="1"/>
      <c r="R70" s="500">
        <f t="shared" si="4"/>
        <v>0</v>
      </c>
      <c r="S70" s="500"/>
      <c r="T70" s="500">
        <f>IF(B70&lt;=0,0,B70*IF('Simulador 7x5'!$Y$81=1,0,'Simulador 7x5'!$U$75))</f>
        <v>0</v>
      </c>
      <c r="U70" s="500"/>
      <c r="V70" s="513">
        <f>IF(B70&lt;=0,0,IF('Simulador 7x5'!$T$41=1,'Simulador 7x5'!$E$55,'Simulador 7x5'!$G$55))</f>
        <v>0</v>
      </c>
      <c r="W70" s="500"/>
      <c r="X70" s="500">
        <f t="shared" si="5"/>
        <v>0</v>
      </c>
      <c r="Y70" s="7"/>
      <c r="Z70" s="12"/>
      <c r="AA70" s="17"/>
      <c r="AB70" s="2">
        <f t="shared" si="6"/>
        <v>0</v>
      </c>
      <c r="AC70" s="21">
        <f t="shared" si="21"/>
        <v>0</v>
      </c>
      <c r="AD70" s="380">
        <f t="shared" si="15"/>
        <v>0</v>
      </c>
      <c r="AE70" s="380">
        <f t="shared" si="16"/>
        <v>0</v>
      </c>
      <c r="AF70" s="381">
        <f t="shared" si="8"/>
        <v>0</v>
      </c>
      <c r="AG70" s="380">
        <f t="shared" si="17"/>
        <v>0</v>
      </c>
      <c r="AH70" s="380">
        <f t="shared" si="18"/>
        <v>0</v>
      </c>
      <c r="AI70" s="380">
        <f>IF(AD70&lt;=0,0,AD70*IF('Simulador 7x5'!$Y$81=1,0,'Simulador 7x5'!$U$75))+IF(AD70&lt;=0,0,IF('Simulador 7x5'!$T$41=1,'Simulador 7x5'!$E$55,'Simulador 7x5'!$G$55))</f>
        <v>0</v>
      </c>
      <c r="AJ70" s="380">
        <f t="shared" si="0"/>
        <v>0</v>
      </c>
      <c r="AK70" s="109">
        <f t="shared" si="9"/>
        <v>0</v>
      </c>
      <c r="AM70" s="141">
        <v>4</v>
      </c>
      <c r="AN70" s="2">
        <v>6</v>
      </c>
      <c r="AO70" s="329">
        <f t="shared" si="10"/>
        <v>0</v>
      </c>
      <c r="AP70" s="329">
        <f t="shared" si="11"/>
        <v>0</v>
      </c>
      <c r="AQ70" s="20">
        <f t="shared" si="12"/>
        <v>0</v>
      </c>
      <c r="AR70" s="36"/>
      <c r="AS70">
        <f t="shared" si="19"/>
        <v>0</v>
      </c>
      <c r="AT70" s="384">
        <f t="shared" si="20"/>
      </c>
      <c r="AU70" s="385">
        <f t="shared" si="13"/>
        <v>0</v>
      </c>
      <c r="AV70" s="36">
        <v>54</v>
      </c>
    </row>
    <row r="71" spans="1:48" ht="12.75">
      <c r="A71" s="443">
        <v>55</v>
      </c>
      <c r="B71" s="498">
        <f t="shared" si="1"/>
        <v>0</v>
      </c>
      <c r="C71" s="499"/>
      <c r="D71" s="498">
        <f>IF(B71+F71-D70&lt;=0,B71+F71,IF(A71=$B$9,$F$9,IF(A71=$B$10,$F$10,IF(AND('Simulador 7x5'!$AD$45=2,L70=0),D70*(1+Z71),IF($AN$3=2,B71*AK71,D70*(1+Z71))))))</f>
        <v>0</v>
      </c>
      <c r="E71" s="500"/>
      <c r="F71" s="500">
        <f t="shared" si="2"/>
        <v>0</v>
      </c>
      <c r="G71" s="500"/>
      <c r="H71" s="500">
        <f t="shared" si="14"/>
        <v>0</v>
      </c>
      <c r="I71" s="501"/>
      <c r="J71" s="506"/>
      <c r="K71" s="501"/>
      <c r="L71" s="502"/>
      <c r="M71" s="501"/>
      <c r="N71" s="500">
        <v>0</v>
      </c>
      <c r="O71" s="6"/>
      <c r="P71" s="457">
        <f t="shared" si="3"/>
        <v>0</v>
      </c>
      <c r="Q71" s="1"/>
      <c r="R71" s="500">
        <f t="shared" si="4"/>
        <v>0</v>
      </c>
      <c r="S71" s="500"/>
      <c r="T71" s="500">
        <f>IF(B71&lt;=0,0,B71*IF('Simulador 7x5'!$Y$81=1,0,'Simulador 7x5'!$U$75))</f>
        <v>0</v>
      </c>
      <c r="U71" s="500"/>
      <c r="V71" s="513">
        <f>IF(B71&lt;=0,0,IF('Simulador 7x5'!$T$41=1,'Simulador 7x5'!$E$55,'Simulador 7x5'!$G$55))</f>
        <v>0</v>
      </c>
      <c r="W71" s="500"/>
      <c r="X71" s="500">
        <f t="shared" si="5"/>
        <v>0</v>
      </c>
      <c r="Y71" s="7"/>
      <c r="Z71" s="12"/>
      <c r="AA71" s="17"/>
      <c r="AB71" s="2">
        <f t="shared" si="6"/>
        <v>0</v>
      </c>
      <c r="AC71" s="21">
        <f t="shared" si="21"/>
        <v>0</v>
      </c>
      <c r="AD71" s="380">
        <f t="shared" si="15"/>
        <v>0</v>
      </c>
      <c r="AE71" s="380">
        <f t="shared" si="16"/>
        <v>0</v>
      </c>
      <c r="AF71" s="381">
        <f t="shared" si="8"/>
        <v>0</v>
      </c>
      <c r="AG71" s="380">
        <f t="shared" si="17"/>
        <v>0</v>
      </c>
      <c r="AH71" s="380">
        <f t="shared" si="18"/>
        <v>0</v>
      </c>
      <c r="AI71" s="380">
        <f>IF(AD71&lt;=0,0,AD71*IF('Simulador 7x5'!$Y$81=1,0,'Simulador 7x5'!$U$75))+IF(AD71&lt;=0,0,IF('Simulador 7x5'!$T$41=1,'Simulador 7x5'!$E$55,'Simulador 7x5'!$G$55))</f>
        <v>0</v>
      </c>
      <c r="AJ71" s="380">
        <f t="shared" si="0"/>
        <v>0</v>
      </c>
      <c r="AK71" s="109">
        <f t="shared" si="9"/>
        <v>0</v>
      </c>
      <c r="AM71" s="141">
        <v>4</v>
      </c>
      <c r="AN71" s="2">
        <v>7</v>
      </c>
      <c r="AO71" s="329">
        <f t="shared" si="10"/>
        <v>0</v>
      </c>
      <c r="AP71" s="329">
        <f t="shared" si="11"/>
        <v>0</v>
      </c>
      <c r="AQ71" s="20">
        <f t="shared" si="12"/>
        <v>0</v>
      </c>
      <c r="AR71" s="36"/>
      <c r="AS71">
        <f t="shared" si="19"/>
        <v>0</v>
      </c>
      <c r="AT71" s="384">
        <f t="shared" si="20"/>
      </c>
      <c r="AU71" s="385">
        <f t="shared" si="13"/>
        <v>0</v>
      </c>
      <c r="AV71" s="36">
        <v>55</v>
      </c>
    </row>
    <row r="72" spans="1:48" ht="12.75">
      <c r="A72" s="443">
        <v>56</v>
      </c>
      <c r="B72" s="498">
        <f t="shared" si="1"/>
        <v>0</v>
      </c>
      <c r="C72" s="499"/>
      <c r="D72" s="498">
        <f>IF(B72+F72-D71&lt;=0,B72+F72,IF(A72=$B$9,$F$9,IF(A72=$B$10,$F$10,IF(AND('Simulador 7x5'!$AD$45=2,L71=0),D71*(1+Z72),IF($AN$3=2,B72*AK72,D71*(1+Z72))))))</f>
        <v>0</v>
      </c>
      <c r="E72" s="500"/>
      <c r="F72" s="500">
        <f t="shared" si="2"/>
        <v>0</v>
      </c>
      <c r="G72" s="500"/>
      <c r="H72" s="500">
        <f t="shared" si="14"/>
        <v>0</v>
      </c>
      <c r="I72" s="501"/>
      <c r="J72" s="505">
        <f>IF(B72-H72=0,0,J70)</f>
        <v>0</v>
      </c>
      <c r="K72" s="501"/>
      <c r="L72" s="502"/>
      <c r="M72" s="501"/>
      <c r="N72" s="500">
        <v>0</v>
      </c>
      <c r="O72" s="6"/>
      <c r="P72" s="457">
        <f t="shared" si="3"/>
        <v>0</v>
      </c>
      <c r="Q72" s="1"/>
      <c r="R72" s="500">
        <f t="shared" si="4"/>
        <v>0</v>
      </c>
      <c r="S72" s="500"/>
      <c r="T72" s="500">
        <f>IF(B72&lt;=0,0,B72*IF('Simulador 7x5'!$Y$81=1,0,'Simulador 7x5'!$U$75))</f>
        <v>0</v>
      </c>
      <c r="U72" s="500"/>
      <c r="V72" s="513">
        <f>IF(B72&lt;=0,0,IF('Simulador 7x5'!$T$41=1,'Simulador 7x5'!$E$55,'Simulador 7x5'!$G$55))</f>
        <v>0</v>
      </c>
      <c r="W72" s="500"/>
      <c r="X72" s="500">
        <f t="shared" si="5"/>
        <v>0</v>
      </c>
      <c r="Y72" s="7"/>
      <c r="Z72" s="12"/>
      <c r="AA72" s="17"/>
      <c r="AB72" s="2">
        <f t="shared" si="6"/>
        <v>0</v>
      </c>
      <c r="AC72" s="21">
        <f t="shared" si="21"/>
        <v>0</v>
      </c>
      <c r="AD72" s="380">
        <f t="shared" si="15"/>
        <v>0</v>
      </c>
      <c r="AE72" s="380">
        <f t="shared" si="16"/>
        <v>0</v>
      </c>
      <c r="AF72" s="381">
        <f t="shared" si="8"/>
        <v>0</v>
      </c>
      <c r="AG72" s="380">
        <f t="shared" si="17"/>
        <v>0</v>
      </c>
      <c r="AH72" s="380">
        <f t="shared" si="18"/>
        <v>0</v>
      </c>
      <c r="AI72" s="380">
        <f>IF(AD72&lt;=0,0,AD72*IF('Simulador 7x5'!$Y$81=1,0,'Simulador 7x5'!$U$75))+IF(AD72&lt;=0,0,IF('Simulador 7x5'!$T$41=1,'Simulador 7x5'!$E$55,'Simulador 7x5'!$G$55))</f>
        <v>0</v>
      </c>
      <c r="AJ72" s="380">
        <f t="shared" si="0"/>
        <v>0</v>
      </c>
      <c r="AK72" s="109">
        <f t="shared" si="9"/>
        <v>0</v>
      </c>
      <c r="AM72" s="141">
        <v>4</v>
      </c>
      <c r="AN72" s="2">
        <v>8</v>
      </c>
      <c r="AO72" s="329">
        <f t="shared" si="10"/>
        <v>0</v>
      </c>
      <c r="AP72" s="329">
        <f t="shared" si="11"/>
        <v>0</v>
      </c>
      <c r="AQ72" s="20">
        <f t="shared" si="12"/>
        <v>0</v>
      </c>
      <c r="AR72" s="36"/>
      <c r="AS72">
        <f t="shared" si="19"/>
        <v>0</v>
      </c>
      <c r="AT72" s="384">
        <f t="shared" si="20"/>
      </c>
      <c r="AU72" s="385">
        <f t="shared" si="13"/>
        <v>0</v>
      </c>
      <c r="AV72" s="36">
        <v>56</v>
      </c>
    </row>
    <row r="73" spans="1:48" ht="12.75">
      <c r="A73" s="443">
        <v>57</v>
      </c>
      <c r="B73" s="498">
        <f t="shared" si="1"/>
        <v>0</v>
      </c>
      <c r="C73" s="499"/>
      <c r="D73" s="498">
        <f>IF(B73+F73-D72&lt;=0,B73+F73,IF(A73=$B$9,$F$9,IF(A73=$B$10,$F$10,IF(AND('Simulador 7x5'!$AD$45=2,L72=0),D72*(1+Z73),IF($AN$3=2,B73*AK73,D72*(1+Z73))))))</f>
        <v>0</v>
      </c>
      <c r="E73" s="500"/>
      <c r="F73" s="500">
        <f t="shared" si="2"/>
        <v>0</v>
      </c>
      <c r="G73" s="500"/>
      <c r="H73" s="500">
        <f t="shared" si="14"/>
        <v>0</v>
      </c>
      <c r="I73" s="501"/>
      <c r="J73" s="506"/>
      <c r="K73" s="501"/>
      <c r="L73" s="502"/>
      <c r="M73" s="501"/>
      <c r="N73" s="500">
        <v>0</v>
      </c>
      <c r="O73" s="6"/>
      <c r="P73" s="457">
        <f t="shared" si="3"/>
        <v>0</v>
      </c>
      <c r="Q73" s="1"/>
      <c r="R73" s="500">
        <f t="shared" si="4"/>
        <v>0</v>
      </c>
      <c r="S73" s="500"/>
      <c r="T73" s="500">
        <f>IF(B73&lt;=0,0,B73*IF('Simulador 7x5'!$Y$81=1,0,'Simulador 7x5'!$U$75))</f>
        <v>0</v>
      </c>
      <c r="U73" s="500"/>
      <c r="V73" s="513">
        <f>IF(B73&lt;=0,0,IF('Simulador 7x5'!$T$41=1,'Simulador 7x5'!$E$55,'Simulador 7x5'!$G$55))</f>
        <v>0</v>
      </c>
      <c r="W73" s="500"/>
      <c r="X73" s="500">
        <f t="shared" si="5"/>
        <v>0</v>
      </c>
      <c r="Y73" s="7"/>
      <c r="Z73" s="12"/>
      <c r="AA73" s="17"/>
      <c r="AB73" s="2">
        <f t="shared" si="6"/>
        <v>0</v>
      </c>
      <c r="AC73" s="21">
        <f t="shared" si="21"/>
        <v>0</v>
      </c>
      <c r="AD73" s="380">
        <f t="shared" si="15"/>
        <v>0</v>
      </c>
      <c r="AE73" s="380">
        <f t="shared" si="16"/>
        <v>0</v>
      </c>
      <c r="AF73" s="381">
        <f t="shared" si="8"/>
        <v>0</v>
      </c>
      <c r="AG73" s="380">
        <f t="shared" si="17"/>
        <v>0</v>
      </c>
      <c r="AH73" s="380">
        <f t="shared" si="18"/>
        <v>0</v>
      </c>
      <c r="AI73" s="380">
        <f>IF(AD73&lt;=0,0,AD73*IF('Simulador 7x5'!$Y$81=1,0,'Simulador 7x5'!$U$75))+IF(AD73&lt;=0,0,IF('Simulador 7x5'!$T$41=1,'Simulador 7x5'!$E$55,'Simulador 7x5'!$G$55))</f>
        <v>0</v>
      </c>
      <c r="AJ73" s="380">
        <f t="shared" si="0"/>
        <v>0</v>
      </c>
      <c r="AK73" s="109">
        <f t="shared" si="9"/>
        <v>0</v>
      </c>
      <c r="AM73" s="141">
        <v>4</v>
      </c>
      <c r="AN73" s="140">
        <v>9</v>
      </c>
      <c r="AO73" s="329">
        <f t="shared" si="10"/>
        <v>0</v>
      </c>
      <c r="AP73" s="329">
        <f t="shared" si="11"/>
        <v>0</v>
      </c>
      <c r="AQ73" s="20">
        <f t="shared" si="12"/>
        <v>0</v>
      </c>
      <c r="AR73" s="36"/>
      <c r="AS73">
        <f t="shared" si="19"/>
        <v>0</v>
      </c>
      <c r="AT73" s="384">
        <f t="shared" si="20"/>
      </c>
      <c r="AU73" s="385">
        <f t="shared" si="13"/>
        <v>0</v>
      </c>
      <c r="AV73" s="36">
        <v>57</v>
      </c>
    </row>
    <row r="74" spans="1:48" ht="12.75">
      <c r="A74" s="443">
        <v>58</v>
      </c>
      <c r="B74" s="498">
        <f t="shared" si="1"/>
        <v>0</v>
      </c>
      <c r="C74" s="499"/>
      <c r="D74" s="498">
        <f>IF(B74+F74-D73&lt;=0,B74+F74,IF(A74=$B$9,$F$9,IF(A74=$B$10,$F$10,IF(AND('Simulador 7x5'!$AD$45=2,L73=0),D73*(1+Z74),IF($AN$3=2,B74*AK74,D73*(1+Z74))))))</f>
        <v>0</v>
      </c>
      <c r="E74" s="500"/>
      <c r="F74" s="500">
        <f t="shared" si="2"/>
        <v>0</v>
      </c>
      <c r="G74" s="500"/>
      <c r="H74" s="500">
        <f t="shared" si="14"/>
        <v>0</v>
      </c>
      <c r="I74" s="501"/>
      <c r="J74" s="505">
        <f>IF(B74-H74=0,0,J72)</f>
        <v>0</v>
      </c>
      <c r="K74" s="501"/>
      <c r="L74" s="502"/>
      <c r="M74" s="501"/>
      <c r="N74" s="500">
        <v>0</v>
      </c>
      <c r="O74" s="6"/>
      <c r="P74" s="457">
        <f t="shared" si="3"/>
        <v>0</v>
      </c>
      <c r="Q74" s="1"/>
      <c r="R74" s="500">
        <f t="shared" si="4"/>
        <v>0</v>
      </c>
      <c r="S74" s="500"/>
      <c r="T74" s="500">
        <f>IF(B74&lt;=0,0,B74*IF('Simulador 7x5'!$Y$81=1,0,'Simulador 7x5'!$U$75))</f>
        <v>0</v>
      </c>
      <c r="U74" s="500"/>
      <c r="V74" s="513">
        <f>IF(B74&lt;=0,0,IF('Simulador 7x5'!$T$41=1,'Simulador 7x5'!$E$55,'Simulador 7x5'!$G$55))</f>
        <v>0</v>
      </c>
      <c r="W74" s="500"/>
      <c r="X74" s="500">
        <f t="shared" si="5"/>
        <v>0</v>
      </c>
      <c r="Y74" s="7"/>
      <c r="Z74" s="12"/>
      <c r="AA74" s="17"/>
      <c r="AB74" s="2">
        <f t="shared" si="6"/>
        <v>0</v>
      </c>
      <c r="AC74" s="21">
        <f t="shared" si="21"/>
        <v>0</v>
      </c>
      <c r="AD74" s="380">
        <f t="shared" si="15"/>
        <v>0</v>
      </c>
      <c r="AE74" s="380">
        <f t="shared" si="16"/>
        <v>0</v>
      </c>
      <c r="AF74" s="381">
        <f t="shared" si="8"/>
        <v>0</v>
      </c>
      <c r="AG74" s="380">
        <f t="shared" si="17"/>
        <v>0</v>
      </c>
      <c r="AH74" s="380">
        <f t="shared" si="18"/>
        <v>0</v>
      </c>
      <c r="AI74" s="380">
        <f>IF(AD74&lt;=0,0,AD74*IF('Simulador 7x5'!$Y$81=1,0,'Simulador 7x5'!$U$75))+IF(AD74&lt;=0,0,IF('Simulador 7x5'!$T$41=1,'Simulador 7x5'!$E$55,'Simulador 7x5'!$G$55))</f>
        <v>0</v>
      </c>
      <c r="AJ74" s="380">
        <f t="shared" si="0"/>
        <v>0</v>
      </c>
      <c r="AK74" s="109">
        <f t="shared" si="9"/>
        <v>0</v>
      </c>
      <c r="AM74" s="141">
        <v>4</v>
      </c>
      <c r="AN74" s="140">
        <v>10</v>
      </c>
      <c r="AO74" s="329">
        <f t="shared" si="10"/>
        <v>0</v>
      </c>
      <c r="AP74" s="329">
        <f t="shared" si="11"/>
        <v>0</v>
      </c>
      <c r="AQ74" s="20">
        <f t="shared" si="12"/>
        <v>0</v>
      </c>
      <c r="AR74" s="36"/>
      <c r="AS74">
        <f t="shared" si="19"/>
        <v>0</v>
      </c>
      <c r="AT74" s="384">
        <f t="shared" si="20"/>
      </c>
      <c r="AU74" s="385">
        <f t="shared" si="13"/>
        <v>0</v>
      </c>
      <c r="AV74" s="36">
        <v>58</v>
      </c>
    </row>
    <row r="75" spans="1:48" ht="12.75">
      <c r="A75" s="443">
        <v>59</v>
      </c>
      <c r="B75" s="498">
        <f t="shared" si="1"/>
        <v>0</v>
      </c>
      <c r="C75" s="499"/>
      <c r="D75" s="498">
        <f>IF(B75+F75-D74&lt;=0,B75+F75,IF(A75=$B$9,$F$9,IF(A75=$B$10,$F$10,IF(AND('Simulador 7x5'!$AD$45=2,L74=0),D74*(1+Z75),IF($AN$3=2,B75*AK75,D74*(1+Z75))))))</f>
        <v>0</v>
      </c>
      <c r="E75" s="500"/>
      <c r="F75" s="500">
        <f t="shared" si="2"/>
        <v>0</v>
      </c>
      <c r="G75" s="500"/>
      <c r="H75" s="500">
        <f t="shared" si="14"/>
        <v>0</v>
      </c>
      <c r="I75" s="501"/>
      <c r="J75" s="506"/>
      <c r="K75" s="501"/>
      <c r="L75" s="502"/>
      <c r="M75" s="501"/>
      <c r="N75" s="500">
        <v>0</v>
      </c>
      <c r="O75" s="6"/>
      <c r="P75" s="457">
        <f t="shared" si="3"/>
        <v>0</v>
      </c>
      <c r="Q75" s="1"/>
      <c r="R75" s="500">
        <f t="shared" si="4"/>
        <v>0</v>
      </c>
      <c r="S75" s="500"/>
      <c r="T75" s="500">
        <f>IF(B75&lt;=0,0,B75*IF('Simulador 7x5'!$Y$81=1,0,'Simulador 7x5'!$U$75))</f>
        <v>0</v>
      </c>
      <c r="U75" s="500"/>
      <c r="V75" s="513">
        <f>IF(B75&lt;=0,0,IF('Simulador 7x5'!$T$41=1,'Simulador 7x5'!$E$55,'Simulador 7x5'!$G$55))</f>
        <v>0</v>
      </c>
      <c r="W75" s="500"/>
      <c r="X75" s="500">
        <f t="shared" si="5"/>
        <v>0</v>
      </c>
      <c r="Y75" s="7"/>
      <c r="Z75" s="12"/>
      <c r="AA75" s="17"/>
      <c r="AB75" s="2">
        <f t="shared" si="6"/>
        <v>0</v>
      </c>
      <c r="AC75" s="21">
        <f t="shared" si="21"/>
        <v>0</v>
      </c>
      <c r="AD75" s="380">
        <f t="shared" si="15"/>
        <v>0</v>
      </c>
      <c r="AE75" s="380">
        <f t="shared" si="16"/>
        <v>0</v>
      </c>
      <c r="AF75" s="381">
        <f t="shared" si="8"/>
        <v>0</v>
      </c>
      <c r="AG75" s="380">
        <f t="shared" si="17"/>
        <v>0</v>
      </c>
      <c r="AH75" s="380">
        <f t="shared" si="18"/>
        <v>0</v>
      </c>
      <c r="AI75" s="380">
        <f>IF(AD75&lt;=0,0,AD75*IF('Simulador 7x5'!$Y$81=1,0,'Simulador 7x5'!$U$75))+IF(AD75&lt;=0,0,IF('Simulador 7x5'!$T$41=1,'Simulador 7x5'!$E$55,'Simulador 7x5'!$G$55))</f>
        <v>0</v>
      </c>
      <c r="AJ75" s="380">
        <f t="shared" si="0"/>
        <v>0</v>
      </c>
      <c r="AK75" s="109">
        <f t="shared" si="9"/>
        <v>0</v>
      </c>
      <c r="AM75" s="141">
        <v>4</v>
      </c>
      <c r="AN75" s="2">
        <v>11</v>
      </c>
      <c r="AO75" s="329">
        <f t="shared" si="10"/>
        <v>0</v>
      </c>
      <c r="AP75" s="329">
        <f t="shared" si="11"/>
        <v>0</v>
      </c>
      <c r="AQ75" s="20">
        <f t="shared" si="12"/>
        <v>0</v>
      </c>
      <c r="AR75" s="36"/>
      <c r="AS75">
        <f t="shared" si="19"/>
        <v>0</v>
      </c>
      <c r="AT75" s="384">
        <f t="shared" si="20"/>
      </c>
      <c r="AU75" s="385">
        <f t="shared" si="13"/>
        <v>0</v>
      </c>
      <c r="AV75" s="36">
        <v>59</v>
      </c>
    </row>
    <row r="76" spans="1:48" ht="12.75">
      <c r="A76" s="448">
        <v>60</v>
      </c>
      <c r="B76" s="507">
        <f t="shared" si="1"/>
        <v>0</v>
      </c>
      <c r="C76" s="508"/>
      <c r="D76" s="507">
        <f>IF(B76+F76-D75&lt;=0,B76+F76,IF(A76=$B$9,$F$9,IF(A76=$B$10,$F$10,IF(AND('Simulador 7x5'!$AD$45=2,L75=0),D75*(1+Z76),IF($AN$3=2,B76*AK76,D75*(1+Z76))))))</f>
        <v>0</v>
      </c>
      <c r="E76" s="509"/>
      <c r="F76" s="509">
        <f t="shared" si="2"/>
        <v>0</v>
      </c>
      <c r="G76" s="509"/>
      <c r="H76" s="509">
        <f t="shared" si="14"/>
        <v>0</v>
      </c>
      <c r="I76" s="510"/>
      <c r="J76" s="511">
        <f>IF(B76-H76=0,0,J74)</f>
        <v>0</v>
      </c>
      <c r="K76" s="510"/>
      <c r="L76" s="512"/>
      <c r="M76" s="510"/>
      <c r="N76" s="509">
        <v>0</v>
      </c>
      <c r="O76" s="449"/>
      <c r="P76" s="458">
        <f t="shared" si="3"/>
        <v>0</v>
      </c>
      <c r="Q76" s="450"/>
      <c r="R76" s="509">
        <f t="shared" si="4"/>
        <v>0</v>
      </c>
      <c r="S76" s="509"/>
      <c r="T76" s="509">
        <f>IF(B76&lt;=0,0,B76*IF('Simulador 7x5'!$Y$81=1,0,'Simulador 7x5'!$U$75))</f>
        <v>0</v>
      </c>
      <c r="U76" s="509"/>
      <c r="V76" s="514">
        <f>IF(B76&lt;=0,0,IF('Simulador 7x5'!$T$41=1,'Simulador 7x5'!$E$55,'Simulador 7x5'!$G$55))</f>
        <v>0</v>
      </c>
      <c r="W76" s="509"/>
      <c r="X76" s="509">
        <f t="shared" si="5"/>
        <v>0</v>
      </c>
      <c r="Y76" s="451"/>
      <c r="Z76" s="452"/>
      <c r="AA76" s="453"/>
      <c r="AB76" s="2">
        <f t="shared" si="6"/>
        <v>0</v>
      </c>
      <c r="AC76" s="21">
        <f t="shared" si="21"/>
        <v>0</v>
      </c>
      <c r="AD76" s="380">
        <f t="shared" si="15"/>
        <v>0</v>
      </c>
      <c r="AE76" s="380">
        <f t="shared" si="16"/>
        <v>0</v>
      </c>
      <c r="AF76" s="381">
        <f t="shared" si="8"/>
        <v>0</v>
      </c>
      <c r="AG76" s="380">
        <f t="shared" si="17"/>
        <v>0</v>
      </c>
      <c r="AH76" s="380">
        <f t="shared" si="18"/>
        <v>0</v>
      </c>
      <c r="AI76" s="380">
        <f>IF(AD76&lt;=0,0,AD76*IF('Simulador 7x5'!$Y$81=1,0,'Simulador 7x5'!$U$75))+IF(AD76&lt;=0,0,IF('Simulador 7x5'!$T$41=1,'Simulador 7x5'!$E$55,'Simulador 7x5'!$G$55))</f>
        <v>0</v>
      </c>
      <c r="AJ76" s="380">
        <f t="shared" si="0"/>
        <v>0</v>
      </c>
      <c r="AK76" s="109">
        <f t="shared" si="9"/>
        <v>0</v>
      </c>
      <c r="AM76" s="141">
        <v>5</v>
      </c>
      <c r="AN76" s="2">
        <v>0</v>
      </c>
      <c r="AO76" s="329">
        <f t="shared" si="10"/>
        <v>0</v>
      </c>
      <c r="AP76" s="329">
        <f t="shared" si="11"/>
        <v>0</v>
      </c>
      <c r="AQ76" s="20">
        <f t="shared" si="12"/>
        <v>0</v>
      </c>
      <c r="AR76" s="36"/>
      <c r="AS76">
        <f t="shared" si="19"/>
        <v>0</v>
      </c>
      <c r="AT76" s="384">
        <f t="shared" si="20"/>
      </c>
      <c r="AU76" s="385">
        <f t="shared" si="13"/>
        <v>0</v>
      </c>
      <c r="AV76" s="36">
        <v>60</v>
      </c>
    </row>
    <row r="77" spans="1:48" ht="12.75">
      <c r="A77" s="443">
        <v>61</v>
      </c>
      <c r="B77" s="498">
        <f>IF(R76&lt;0.01,0,IF(A77=$B$9,R76+$D$9,IF(A77=$B$10,R76+$D$10,R76)))</f>
        <v>0</v>
      </c>
      <c r="C77" s="499"/>
      <c r="D77" s="498">
        <f>_xlfn.IFERROR((((P77/360*AU77)/(1-(1+(P77/360*AU77))^-AS77))*B77)*(1+Z77),0)</f>
        <v>0</v>
      </c>
      <c r="E77" s="500"/>
      <c r="F77" s="500">
        <f t="shared" si="2"/>
        <v>0</v>
      </c>
      <c r="G77" s="500"/>
      <c r="H77" s="500">
        <f t="shared" si="14"/>
        <v>0</v>
      </c>
      <c r="I77" s="501"/>
      <c r="J77" s="506"/>
      <c r="K77" s="501"/>
      <c r="L77" s="502"/>
      <c r="M77" s="501"/>
      <c r="N77" s="500">
        <v>0</v>
      </c>
      <c r="O77" s="6"/>
      <c r="P77" s="457">
        <f>IF(B77=0,0,AC77)</f>
        <v>0</v>
      </c>
      <c r="Q77" s="1"/>
      <c r="R77" s="500">
        <f t="shared" si="4"/>
        <v>0</v>
      </c>
      <c r="S77" s="500"/>
      <c r="T77" s="500">
        <f>IF(B77&lt;=0,0,B77*IF('Simulador 7x5'!$Y$81=1,0,'Simulador 7x5'!$U$75))</f>
        <v>0</v>
      </c>
      <c r="U77" s="500"/>
      <c r="V77" s="513">
        <f>IF(B77&lt;=0,0,IF('Simulador 7x5'!$T$41=1,'Simulador 7x5'!$E$55,'Simulador 7x5'!$G$55))</f>
        <v>0</v>
      </c>
      <c r="W77" s="500"/>
      <c r="X77" s="500">
        <f t="shared" si="5"/>
        <v>0</v>
      </c>
      <c r="Y77" s="7"/>
      <c r="Z77" s="12">
        <f>IF(B77&lt;=0,0,'Simulador 7x5'!$AE$54)</f>
        <v>0</v>
      </c>
      <c r="AA77" s="17"/>
      <c r="AB77" s="2">
        <f t="shared" si="6"/>
        <v>0</v>
      </c>
      <c r="AC77" s="21">
        <f>IF(AD77&lt;=0.01,0,IF('Simulador 7x5'!$I$27&lt;&gt;0,MIN('Simulador 7x5'!$I$27+'Simulador 7x5'!$X$72,'Tabla 7x5'!$AD$5),'Simulador 7x5'!$AA$63))</f>
        <v>0</v>
      </c>
      <c r="AD77" s="380">
        <f t="shared" si="15"/>
        <v>0</v>
      </c>
      <c r="AE77" s="380">
        <f>_xlfn.IFERROR((((AC77/360*AU77)/(1-(1+(AC77/360*AU77))^-AS77)*AD77))*(1+Z77),0)</f>
        <v>0</v>
      </c>
      <c r="AF77" s="381">
        <f t="shared" si="8"/>
        <v>0</v>
      </c>
      <c r="AG77" s="380">
        <f t="shared" si="17"/>
        <v>0</v>
      </c>
      <c r="AH77" s="380">
        <f t="shared" si="18"/>
        <v>0</v>
      </c>
      <c r="AI77" s="380">
        <f>IF(AD77&lt;=0,0,AD77*IF('Simulador 7x5'!$Y$81=1,0,'Simulador 7x5'!$U$75))+IF(AD77&lt;=0,0,IF('Simulador 7x5'!$T$41=1,'Simulador 7x5'!$E$55,'Simulador 7x5'!$G$55))</f>
        <v>0</v>
      </c>
      <c r="AJ77" s="380">
        <f t="shared" si="0"/>
        <v>0</v>
      </c>
      <c r="AK77" s="109">
        <f t="shared" si="9"/>
        <v>0</v>
      </c>
      <c r="AM77" s="141">
        <v>5</v>
      </c>
      <c r="AN77" s="2">
        <v>1</v>
      </c>
      <c r="AO77" s="329">
        <f t="shared" si="10"/>
        <v>0</v>
      </c>
      <c r="AP77" s="329">
        <f t="shared" si="11"/>
        <v>0</v>
      </c>
      <c r="AQ77" s="20">
        <f t="shared" si="12"/>
        <v>0</v>
      </c>
      <c r="AR77" s="36"/>
      <c r="AS77" s="398">
        <f t="shared" si="19"/>
        <v>0</v>
      </c>
      <c r="AT77" s="384">
        <f t="shared" si="20"/>
      </c>
      <c r="AU77" s="385">
        <f t="shared" si="13"/>
        <v>0</v>
      </c>
      <c r="AV77" s="36">
        <v>61</v>
      </c>
    </row>
    <row r="78" spans="1:48" ht="12.75">
      <c r="A78" s="443">
        <v>62</v>
      </c>
      <c r="B78" s="498">
        <f aca="true" t="shared" si="22" ref="B78:B136">IF(R77&lt;0.01,0,IF(A78=$B$9,R77+$D$9,IF(A78=$B$10,R77+$D$10,R77)))</f>
        <v>0</v>
      </c>
      <c r="C78" s="499"/>
      <c r="D78" s="498">
        <f aca="true" t="shared" si="23" ref="D78:D136">_xlfn.IFERROR((((P78/360*AU78)/(1-(1+(P78/360*AU78))^-AS78))*B78)*(1+Z78),0)</f>
        <v>0</v>
      </c>
      <c r="E78" s="500"/>
      <c r="F78" s="500">
        <f t="shared" si="2"/>
        <v>0</v>
      </c>
      <c r="G78" s="500"/>
      <c r="H78" s="500">
        <f t="shared" si="14"/>
        <v>0</v>
      </c>
      <c r="I78" s="501"/>
      <c r="J78" s="505">
        <f>IF(B78-H78=0,0,J76*(1+(3%)))</f>
        <v>0</v>
      </c>
      <c r="K78" s="501"/>
      <c r="L78" s="502"/>
      <c r="M78" s="501"/>
      <c r="N78" s="500">
        <v>0</v>
      </c>
      <c r="O78" s="6"/>
      <c r="P78" s="457">
        <f t="shared" si="3"/>
        <v>0</v>
      </c>
      <c r="Q78" s="1"/>
      <c r="R78" s="500">
        <f t="shared" si="4"/>
        <v>0</v>
      </c>
      <c r="S78" s="500"/>
      <c r="T78" s="500">
        <f>IF(B78&lt;=0,0,B78*IF('Simulador 7x5'!$Y$81=1,0,'Simulador 7x5'!$U$75))</f>
        <v>0</v>
      </c>
      <c r="U78" s="500"/>
      <c r="V78" s="513">
        <f>IF(B78&lt;=0,0,IF('Simulador 7x5'!$T$41=1,'Simulador 7x5'!$E$55,'Simulador 7x5'!$G$55))</f>
        <v>0</v>
      </c>
      <c r="W78" s="500"/>
      <c r="X78" s="500">
        <f t="shared" si="5"/>
        <v>0</v>
      </c>
      <c r="Y78" s="7"/>
      <c r="Z78" s="12"/>
      <c r="AA78" s="17"/>
      <c r="AB78" s="2">
        <f t="shared" si="6"/>
        <v>0</v>
      </c>
      <c r="AC78" s="21">
        <f aca="true" t="shared" si="24" ref="AC78:AC109">IF(AD78&lt;=0.01,0,AC77)</f>
        <v>0</v>
      </c>
      <c r="AD78" s="380">
        <f t="shared" si="15"/>
        <v>0</v>
      </c>
      <c r="AE78" s="380">
        <f aca="true" t="shared" si="25" ref="AE78:AE136">_xlfn.IFERROR((((AC78/360*AU78)/(1-(1+(AC78/360*AU78))^-AS78)*AD78))*(1+Z78),0)</f>
        <v>0</v>
      </c>
      <c r="AF78" s="381">
        <f t="shared" si="8"/>
        <v>0</v>
      </c>
      <c r="AG78" s="380">
        <f t="shared" si="17"/>
        <v>0</v>
      </c>
      <c r="AH78" s="380">
        <f t="shared" si="18"/>
        <v>0</v>
      </c>
      <c r="AI78" s="380">
        <f>IF(AD78&lt;=0,0,AD78*IF('Simulador 7x5'!$Y$81=1,0,'Simulador 7x5'!$U$75))+IF(AD78&lt;=0,0,IF('Simulador 7x5'!$T$41=1,'Simulador 7x5'!$E$55,'Simulador 7x5'!$G$55))</f>
        <v>0</v>
      </c>
      <c r="AJ78" s="380">
        <f t="shared" si="0"/>
        <v>0</v>
      </c>
      <c r="AK78" s="109">
        <f t="shared" si="9"/>
        <v>0</v>
      </c>
      <c r="AM78" s="141">
        <v>5</v>
      </c>
      <c r="AN78" s="139">
        <v>2</v>
      </c>
      <c r="AO78" s="329">
        <f t="shared" si="10"/>
        <v>0</v>
      </c>
      <c r="AP78" s="329">
        <f t="shared" si="11"/>
        <v>0</v>
      </c>
      <c r="AQ78" s="20">
        <f t="shared" si="12"/>
        <v>0</v>
      </c>
      <c r="AR78" s="36"/>
      <c r="AS78">
        <f t="shared" si="19"/>
        <v>0</v>
      </c>
      <c r="AT78" s="384">
        <f t="shared" si="20"/>
      </c>
      <c r="AU78" s="385">
        <f t="shared" si="13"/>
        <v>0</v>
      </c>
      <c r="AV78" s="36">
        <v>62</v>
      </c>
    </row>
    <row r="79" spans="1:48" ht="12.75">
      <c r="A79" s="443">
        <v>63</v>
      </c>
      <c r="B79" s="498">
        <f t="shared" si="22"/>
        <v>0</v>
      </c>
      <c r="C79" s="499"/>
      <c r="D79" s="498">
        <f t="shared" si="23"/>
        <v>0</v>
      </c>
      <c r="E79" s="500"/>
      <c r="F79" s="500">
        <f t="shared" si="2"/>
        <v>0</v>
      </c>
      <c r="G79" s="500"/>
      <c r="H79" s="500">
        <f t="shared" si="14"/>
        <v>0</v>
      </c>
      <c r="I79" s="501"/>
      <c r="J79" s="506"/>
      <c r="K79" s="501"/>
      <c r="L79" s="502"/>
      <c r="M79" s="501"/>
      <c r="N79" s="500">
        <v>0</v>
      </c>
      <c r="O79" s="6"/>
      <c r="P79" s="457">
        <f t="shared" si="3"/>
        <v>0</v>
      </c>
      <c r="Q79" s="1"/>
      <c r="R79" s="500">
        <f t="shared" si="4"/>
        <v>0</v>
      </c>
      <c r="S79" s="500"/>
      <c r="T79" s="500">
        <f>IF(B79&lt;=0,0,B79*IF('Simulador 7x5'!$Y$81=1,0,'Simulador 7x5'!$U$75))</f>
        <v>0</v>
      </c>
      <c r="U79" s="500"/>
      <c r="V79" s="513">
        <f>IF(B79&lt;=0,0,IF('Simulador 7x5'!$T$41=1,'Simulador 7x5'!$E$55,'Simulador 7x5'!$G$55))</f>
        <v>0</v>
      </c>
      <c r="W79" s="500"/>
      <c r="X79" s="500">
        <f t="shared" si="5"/>
        <v>0</v>
      </c>
      <c r="Y79" s="7"/>
      <c r="Z79" s="12"/>
      <c r="AA79" s="17"/>
      <c r="AB79" s="2">
        <f t="shared" si="6"/>
        <v>0</v>
      </c>
      <c r="AC79" s="21">
        <f t="shared" si="24"/>
        <v>0</v>
      </c>
      <c r="AD79" s="380">
        <f t="shared" si="15"/>
        <v>0</v>
      </c>
      <c r="AE79" s="380">
        <f t="shared" si="25"/>
        <v>0</v>
      </c>
      <c r="AF79" s="381">
        <f t="shared" si="8"/>
        <v>0</v>
      </c>
      <c r="AG79" s="380">
        <f t="shared" si="17"/>
        <v>0</v>
      </c>
      <c r="AH79" s="380">
        <f t="shared" si="18"/>
        <v>0</v>
      </c>
      <c r="AI79" s="380">
        <f>IF(AD79&lt;=0,0,AD79*IF('Simulador 7x5'!$Y$81=1,0,'Simulador 7x5'!$U$75))+IF(AD79&lt;=0,0,IF('Simulador 7x5'!$T$41=1,'Simulador 7x5'!$E$55,'Simulador 7x5'!$G$55))</f>
        <v>0</v>
      </c>
      <c r="AJ79" s="380">
        <f t="shared" si="0"/>
        <v>0</v>
      </c>
      <c r="AK79" s="109">
        <f t="shared" si="9"/>
        <v>0</v>
      </c>
      <c r="AM79" s="141">
        <v>5</v>
      </c>
      <c r="AN79" s="139">
        <v>3</v>
      </c>
      <c r="AO79" s="329">
        <f t="shared" si="10"/>
        <v>0</v>
      </c>
      <c r="AP79" s="329">
        <f t="shared" si="11"/>
        <v>0</v>
      </c>
      <c r="AQ79" s="20">
        <f t="shared" si="12"/>
        <v>0</v>
      </c>
      <c r="AR79" s="36"/>
      <c r="AS79">
        <f t="shared" si="19"/>
        <v>0</v>
      </c>
      <c r="AT79" s="384">
        <f t="shared" si="20"/>
      </c>
      <c r="AU79" s="385">
        <f t="shared" si="13"/>
        <v>0</v>
      </c>
      <c r="AV79" s="36">
        <v>63</v>
      </c>
    </row>
    <row r="80" spans="1:48" ht="12.75">
      <c r="A80" s="443">
        <v>64</v>
      </c>
      <c r="B80" s="498">
        <f t="shared" si="22"/>
        <v>0</v>
      </c>
      <c r="C80" s="499"/>
      <c r="D80" s="498">
        <f t="shared" si="23"/>
        <v>0</v>
      </c>
      <c r="E80" s="500"/>
      <c r="F80" s="500">
        <f t="shared" si="2"/>
        <v>0</v>
      </c>
      <c r="G80" s="500"/>
      <c r="H80" s="500">
        <f t="shared" si="14"/>
        <v>0</v>
      </c>
      <c r="I80" s="501"/>
      <c r="J80" s="505">
        <f>IF(B80-H80=0,0,J78)</f>
        <v>0</v>
      </c>
      <c r="K80" s="501"/>
      <c r="L80" s="502"/>
      <c r="M80" s="501"/>
      <c r="N80" s="500">
        <v>0</v>
      </c>
      <c r="O80" s="6"/>
      <c r="P80" s="457">
        <f t="shared" si="3"/>
        <v>0</v>
      </c>
      <c r="Q80" s="1"/>
      <c r="R80" s="500">
        <f t="shared" si="4"/>
        <v>0</v>
      </c>
      <c r="S80" s="500"/>
      <c r="T80" s="500">
        <f>IF(B80&lt;=0,0,B80*IF('Simulador 7x5'!$Y$81=1,0,'Simulador 7x5'!$U$75))</f>
        <v>0</v>
      </c>
      <c r="U80" s="500"/>
      <c r="V80" s="513">
        <f>IF(B80&lt;=0,0,IF('Simulador 7x5'!$T$41=1,'Simulador 7x5'!$E$55,'Simulador 7x5'!$G$55))</f>
        <v>0</v>
      </c>
      <c r="W80" s="500"/>
      <c r="X80" s="500">
        <f t="shared" si="5"/>
        <v>0</v>
      </c>
      <c r="Y80" s="7"/>
      <c r="Z80" s="12"/>
      <c r="AA80" s="17"/>
      <c r="AB80" s="2">
        <f t="shared" si="6"/>
        <v>0</v>
      </c>
      <c r="AC80" s="21">
        <f t="shared" si="24"/>
        <v>0</v>
      </c>
      <c r="AD80" s="380">
        <f t="shared" si="15"/>
        <v>0</v>
      </c>
      <c r="AE80" s="380">
        <f t="shared" si="25"/>
        <v>0</v>
      </c>
      <c r="AF80" s="381">
        <f t="shared" si="8"/>
        <v>0</v>
      </c>
      <c r="AG80" s="380">
        <f t="shared" si="17"/>
        <v>0</v>
      </c>
      <c r="AH80" s="380">
        <f t="shared" si="18"/>
        <v>0</v>
      </c>
      <c r="AI80" s="380">
        <f>IF(AD80&lt;=0,0,AD80*IF('Simulador 7x5'!$Y$81=1,0,'Simulador 7x5'!$U$75))+IF(AD80&lt;=0,0,IF('Simulador 7x5'!$T$41=1,'Simulador 7x5'!$E$55,'Simulador 7x5'!$G$55))</f>
        <v>0</v>
      </c>
      <c r="AJ80" s="380">
        <f t="shared" si="0"/>
        <v>0</v>
      </c>
      <c r="AK80" s="109">
        <f t="shared" si="9"/>
        <v>0</v>
      </c>
      <c r="AM80" s="141">
        <v>5</v>
      </c>
      <c r="AN80" s="2">
        <v>4</v>
      </c>
      <c r="AO80" s="329">
        <f t="shared" si="10"/>
        <v>0</v>
      </c>
      <c r="AP80" s="329">
        <f t="shared" si="11"/>
        <v>0</v>
      </c>
      <c r="AQ80" s="20">
        <f t="shared" si="12"/>
        <v>0</v>
      </c>
      <c r="AR80" s="36"/>
      <c r="AS80">
        <f t="shared" si="19"/>
        <v>0</v>
      </c>
      <c r="AT80" s="384">
        <f t="shared" si="20"/>
      </c>
      <c r="AU80" s="385">
        <f t="shared" si="13"/>
        <v>0</v>
      </c>
      <c r="AV80" s="36">
        <v>64</v>
      </c>
    </row>
    <row r="81" spans="1:48" ht="12.75">
      <c r="A81" s="443">
        <v>65</v>
      </c>
      <c r="B81" s="498">
        <f t="shared" si="22"/>
        <v>0</v>
      </c>
      <c r="C81" s="499"/>
      <c r="D81" s="498">
        <f t="shared" si="23"/>
        <v>0</v>
      </c>
      <c r="E81" s="500"/>
      <c r="F81" s="500">
        <f t="shared" si="2"/>
        <v>0</v>
      </c>
      <c r="G81" s="500"/>
      <c r="H81" s="500">
        <f t="shared" si="14"/>
        <v>0</v>
      </c>
      <c r="I81" s="501"/>
      <c r="J81" s="506"/>
      <c r="K81" s="501"/>
      <c r="L81" s="502"/>
      <c r="M81" s="501"/>
      <c r="N81" s="500">
        <v>0</v>
      </c>
      <c r="O81" s="6"/>
      <c r="P81" s="457">
        <f t="shared" si="3"/>
        <v>0</v>
      </c>
      <c r="Q81" s="1"/>
      <c r="R81" s="500">
        <f t="shared" si="4"/>
        <v>0</v>
      </c>
      <c r="S81" s="500"/>
      <c r="T81" s="500">
        <f>IF(B81&lt;=0,0,B81*IF('Simulador 7x5'!$Y$81=1,0,'Simulador 7x5'!$U$75))</f>
        <v>0</v>
      </c>
      <c r="U81" s="500"/>
      <c r="V81" s="513">
        <f>IF(B81&lt;=0,0,IF('Simulador 7x5'!$T$41=1,'Simulador 7x5'!$E$55,'Simulador 7x5'!$G$55))</f>
        <v>0</v>
      </c>
      <c r="W81" s="500"/>
      <c r="X81" s="500">
        <f t="shared" si="5"/>
        <v>0</v>
      </c>
      <c r="Y81" s="7"/>
      <c r="Z81" s="12"/>
      <c r="AA81" s="17"/>
      <c r="AB81" s="2">
        <f t="shared" si="6"/>
        <v>0</v>
      </c>
      <c r="AC81" s="21">
        <f t="shared" si="24"/>
        <v>0</v>
      </c>
      <c r="AD81" s="380">
        <f t="shared" si="15"/>
        <v>0</v>
      </c>
      <c r="AE81" s="380">
        <f t="shared" si="25"/>
        <v>0</v>
      </c>
      <c r="AF81" s="381">
        <f t="shared" si="8"/>
        <v>0</v>
      </c>
      <c r="AG81" s="380">
        <f t="shared" si="17"/>
        <v>0</v>
      </c>
      <c r="AH81" s="380">
        <f t="shared" si="18"/>
        <v>0</v>
      </c>
      <c r="AI81" s="380">
        <f>IF(AD81&lt;=0,0,AD81*IF('Simulador 7x5'!$Y$81=1,0,'Simulador 7x5'!$U$75))+IF(AD81&lt;=0,0,IF('Simulador 7x5'!$T$41=1,'Simulador 7x5'!$E$55,'Simulador 7x5'!$G$55))</f>
        <v>0</v>
      </c>
      <c r="AJ81" s="380">
        <f aca="true" t="shared" si="26" ref="AJ81:AJ136">IF(AD81&lt;=0,0,AE81+AI81)</f>
        <v>0</v>
      </c>
      <c r="AK81" s="109">
        <f t="shared" si="9"/>
        <v>0</v>
      </c>
      <c r="AM81" s="141">
        <v>5</v>
      </c>
      <c r="AN81" s="2">
        <v>5</v>
      </c>
      <c r="AO81" s="329">
        <f t="shared" si="10"/>
        <v>0</v>
      </c>
      <c r="AP81" s="329">
        <f t="shared" si="11"/>
        <v>0</v>
      </c>
      <c r="AQ81" s="20">
        <f t="shared" si="12"/>
        <v>0</v>
      </c>
      <c r="AR81" s="36"/>
      <c r="AS81">
        <f t="shared" si="19"/>
        <v>0</v>
      </c>
      <c r="AT81" s="384">
        <f t="shared" si="20"/>
      </c>
      <c r="AU81" s="385">
        <f t="shared" si="13"/>
        <v>0</v>
      </c>
      <c r="AV81" s="36">
        <v>65</v>
      </c>
    </row>
    <row r="82" spans="1:48" ht="12.75">
      <c r="A82" s="443">
        <v>66</v>
      </c>
      <c r="B82" s="498">
        <f t="shared" si="22"/>
        <v>0</v>
      </c>
      <c r="C82" s="499"/>
      <c r="D82" s="498">
        <f t="shared" si="23"/>
        <v>0</v>
      </c>
      <c r="E82" s="500"/>
      <c r="F82" s="500">
        <f aca="true" t="shared" si="27" ref="F82:F136">IF(B82=0,0,P82/360*AU82*B82)</f>
        <v>0</v>
      </c>
      <c r="G82" s="500"/>
      <c r="H82" s="500">
        <f t="shared" si="14"/>
        <v>0</v>
      </c>
      <c r="I82" s="501"/>
      <c r="J82" s="505">
        <f>IF(B82-H82=0,0,J80)</f>
        <v>0</v>
      </c>
      <c r="K82" s="501"/>
      <c r="L82" s="502"/>
      <c r="M82" s="501"/>
      <c r="N82" s="500">
        <v>0</v>
      </c>
      <c r="O82" s="6"/>
      <c r="P82" s="457">
        <f aca="true" t="shared" si="28" ref="P82:P136">IF(B82=0,0,AC82)</f>
        <v>0</v>
      </c>
      <c r="Q82" s="1"/>
      <c r="R82" s="500">
        <f aca="true" t="shared" si="29" ref="R82:R136">B82-H82-J82-L82+N82</f>
        <v>0</v>
      </c>
      <c r="S82" s="500"/>
      <c r="T82" s="500">
        <f>IF(B82&lt;=0,0,B82*IF('Simulador 7x5'!$Y$81=1,0,'Simulador 7x5'!$U$75))</f>
        <v>0</v>
      </c>
      <c r="U82" s="500"/>
      <c r="V82" s="513">
        <f>IF(B82&lt;=0,0,IF('Simulador 7x5'!$T$41=1,'Simulador 7x5'!$E$55,'Simulador 7x5'!$G$55))</f>
        <v>0</v>
      </c>
      <c r="W82" s="500"/>
      <c r="X82" s="500">
        <f aca="true" t="shared" si="30" ref="X82:X136">IF(B82&lt;=0,0,(D82+L82+T82+V82))</f>
        <v>0</v>
      </c>
      <c r="Y82" s="7"/>
      <c r="Z82" s="12"/>
      <c r="AA82" s="17"/>
      <c r="AB82" s="2">
        <f aca="true" t="shared" si="31" ref="AB82:AB136">X82</f>
        <v>0</v>
      </c>
      <c r="AC82" s="21">
        <f t="shared" si="24"/>
        <v>0</v>
      </c>
      <c r="AD82" s="380">
        <f t="shared" si="15"/>
        <v>0</v>
      </c>
      <c r="AE82" s="380">
        <f t="shared" si="25"/>
        <v>0</v>
      </c>
      <c r="AF82" s="381">
        <f aca="true" t="shared" si="32" ref="AF82:AF136">_xlfn.IFERROR(AC82/360*AU82*AD82,0)</f>
        <v>0</v>
      </c>
      <c r="AG82" s="380">
        <f t="shared" si="17"/>
        <v>0</v>
      </c>
      <c r="AH82" s="380">
        <f t="shared" si="18"/>
        <v>0</v>
      </c>
      <c r="AI82" s="380">
        <f>IF(AD82&lt;=0,0,AD82*IF('Simulador 7x5'!$Y$81=1,0,'Simulador 7x5'!$U$75))+IF(AD82&lt;=0,0,IF('Simulador 7x5'!$T$41=1,'Simulador 7x5'!$E$55,'Simulador 7x5'!$G$55))</f>
        <v>0</v>
      </c>
      <c r="AJ82" s="380">
        <f t="shared" si="26"/>
        <v>0</v>
      </c>
      <c r="AK82" s="109">
        <f aca="true" t="shared" si="33" ref="AK82:AK136">_xlfn.IFERROR(AE82/AD82,0)</f>
        <v>0</v>
      </c>
      <c r="AM82" s="141">
        <v>5</v>
      </c>
      <c r="AN82" s="2">
        <v>6</v>
      </c>
      <c r="AO82" s="329">
        <f aca="true" t="shared" si="34" ref="AO82:AO136">+IF(R82&lt;=0.01,IF(R81&gt;1,+A82,0),0)</f>
        <v>0</v>
      </c>
      <c r="AP82" s="329">
        <f aca="true" t="shared" si="35" ref="AP82:AP136">+IF(AO82&gt;0,+AM82,0)</f>
        <v>0</v>
      </c>
      <c r="AQ82" s="20">
        <f aca="true" t="shared" si="36" ref="AQ82:AQ136">+IF(AO82&gt;0,+AN82,0)</f>
        <v>0</v>
      </c>
      <c r="AR82" s="36"/>
      <c r="AS82">
        <f t="shared" si="19"/>
        <v>0</v>
      </c>
      <c r="AT82" s="384">
        <f t="shared" si="20"/>
      </c>
      <c r="AU82" s="385">
        <f aca="true" t="shared" si="37" ref="AU82:AU136">_xlfn.IFERROR(DAY(DATE(YEAR(AT82),MONTH(AT82)+1,0)),0)</f>
        <v>0</v>
      </c>
      <c r="AV82" s="36">
        <v>66</v>
      </c>
    </row>
    <row r="83" spans="1:48" ht="12.75">
      <c r="A83" s="443">
        <v>67</v>
      </c>
      <c r="B83" s="498">
        <f t="shared" si="22"/>
        <v>0</v>
      </c>
      <c r="C83" s="499"/>
      <c r="D83" s="498">
        <f t="shared" si="23"/>
        <v>0</v>
      </c>
      <c r="E83" s="500"/>
      <c r="F83" s="500">
        <f t="shared" si="27"/>
        <v>0</v>
      </c>
      <c r="G83" s="500"/>
      <c r="H83" s="500">
        <f aca="true" t="shared" si="38" ref="H83:H136">D83-F83</f>
        <v>0</v>
      </c>
      <c r="I83" s="501"/>
      <c r="J83" s="506"/>
      <c r="K83" s="501"/>
      <c r="L83" s="502"/>
      <c r="M83" s="501"/>
      <c r="N83" s="500">
        <v>0</v>
      </c>
      <c r="O83" s="6"/>
      <c r="P83" s="457">
        <f t="shared" si="28"/>
        <v>0</v>
      </c>
      <c r="Q83" s="1"/>
      <c r="R83" s="500">
        <f t="shared" si="29"/>
        <v>0</v>
      </c>
      <c r="S83" s="500"/>
      <c r="T83" s="500">
        <f>IF(B83&lt;=0,0,B83*IF('Simulador 7x5'!$Y$81=1,0,'Simulador 7x5'!$U$75))</f>
        <v>0</v>
      </c>
      <c r="U83" s="500"/>
      <c r="V83" s="513">
        <f>IF(B83&lt;=0,0,IF('Simulador 7x5'!$T$41=1,'Simulador 7x5'!$E$55,'Simulador 7x5'!$G$55))</f>
        <v>0</v>
      </c>
      <c r="W83" s="500"/>
      <c r="X83" s="500">
        <f t="shared" si="30"/>
        <v>0</v>
      </c>
      <c r="Y83" s="7"/>
      <c r="Z83" s="12"/>
      <c r="AA83" s="17"/>
      <c r="AB83" s="2">
        <f t="shared" si="31"/>
        <v>0</v>
      </c>
      <c r="AC83" s="21">
        <f t="shared" si="24"/>
        <v>0</v>
      </c>
      <c r="AD83" s="380">
        <f aca="true" t="shared" si="39" ref="AD83:AD136">IF(AH82&lt;0.01,0,IF(A83=$B$9,AH82+$D$9,IF(A83=$B$10,AH82+$D$10,AH82)))</f>
        <v>0</v>
      </c>
      <c r="AE83" s="380">
        <f t="shared" si="25"/>
        <v>0</v>
      </c>
      <c r="AF83" s="381">
        <f t="shared" si="32"/>
        <v>0</v>
      </c>
      <c r="AG83" s="380">
        <f aca="true" t="shared" si="40" ref="AG83:AG136">+AE83-AF83</f>
        <v>0</v>
      </c>
      <c r="AH83" s="380">
        <f aca="true" t="shared" si="41" ref="AH83:AH136">+AD83-AG83</f>
        <v>0</v>
      </c>
      <c r="AI83" s="380">
        <f>IF(AD83&lt;=0,0,AD83*IF('Simulador 7x5'!$Y$81=1,0,'Simulador 7x5'!$U$75))+IF(AD83&lt;=0,0,IF('Simulador 7x5'!$T$41=1,'Simulador 7x5'!$E$55,'Simulador 7x5'!$G$55))</f>
        <v>0</v>
      </c>
      <c r="AJ83" s="380">
        <f t="shared" si="26"/>
        <v>0</v>
      </c>
      <c r="AK83" s="109">
        <f t="shared" si="33"/>
        <v>0</v>
      </c>
      <c r="AM83" s="141">
        <v>5</v>
      </c>
      <c r="AN83" s="2">
        <v>7</v>
      </c>
      <c r="AO83" s="329">
        <f t="shared" si="34"/>
        <v>0</v>
      </c>
      <c r="AP83" s="329">
        <f t="shared" si="35"/>
        <v>0</v>
      </c>
      <c r="AQ83" s="20">
        <f t="shared" si="36"/>
        <v>0</v>
      </c>
      <c r="AR83" s="36"/>
      <c r="AS83">
        <f aca="true" t="shared" si="42" ref="AS83:AS136">_xlfn.IFERROR(IF(AD83&lt;=0.01,0,AS82-1),0)</f>
        <v>0</v>
      </c>
      <c r="AT83" s="384">
        <f aca="true" t="shared" si="43" ref="AT83:AT136">IF(AK82=0,"",DATE(YEAR(AT82),MONTH(AT82)+1,1))</f>
      </c>
      <c r="AU83" s="385">
        <f t="shared" si="37"/>
        <v>0</v>
      </c>
      <c r="AV83" s="36">
        <v>67</v>
      </c>
    </row>
    <row r="84" spans="1:48" ht="12.75">
      <c r="A84" s="443">
        <v>68</v>
      </c>
      <c r="B84" s="498">
        <f t="shared" si="22"/>
        <v>0</v>
      </c>
      <c r="C84" s="499"/>
      <c r="D84" s="498">
        <f t="shared" si="23"/>
        <v>0</v>
      </c>
      <c r="E84" s="500"/>
      <c r="F84" s="500">
        <f t="shared" si="27"/>
        <v>0</v>
      </c>
      <c r="G84" s="500"/>
      <c r="H84" s="500">
        <f t="shared" si="38"/>
        <v>0</v>
      </c>
      <c r="I84" s="501"/>
      <c r="J84" s="505">
        <f>IF(B84-H84=0,0,J82)</f>
        <v>0</v>
      </c>
      <c r="K84" s="501"/>
      <c r="L84" s="502"/>
      <c r="M84" s="501"/>
      <c r="N84" s="500">
        <v>0</v>
      </c>
      <c r="O84" s="6"/>
      <c r="P84" s="457">
        <f t="shared" si="28"/>
        <v>0</v>
      </c>
      <c r="Q84" s="1"/>
      <c r="R84" s="500">
        <f t="shared" si="29"/>
        <v>0</v>
      </c>
      <c r="S84" s="500"/>
      <c r="T84" s="500">
        <f>IF(B84&lt;=0,0,B84*IF('Simulador 7x5'!$Y$81=1,0,'Simulador 7x5'!$U$75))</f>
        <v>0</v>
      </c>
      <c r="U84" s="500"/>
      <c r="V84" s="513">
        <f>IF(B84&lt;=0,0,IF('Simulador 7x5'!$T$41=1,'Simulador 7x5'!$E$55,'Simulador 7x5'!$G$55))</f>
        <v>0</v>
      </c>
      <c r="W84" s="500"/>
      <c r="X84" s="500">
        <f t="shared" si="30"/>
        <v>0</v>
      </c>
      <c r="Y84" s="7"/>
      <c r="Z84" s="12"/>
      <c r="AA84" s="17"/>
      <c r="AB84" s="2">
        <f t="shared" si="31"/>
        <v>0</v>
      </c>
      <c r="AC84" s="21">
        <f t="shared" si="24"/>
        <v>0</v>
      </c>
      <c r="AD84" s="380">
        <f t="shared" si="39"/>
        <v>0</v>
      </c>
      <c r="AE84" s="380">
        <f t="shared" si="25"/>
        <v>0</v>
      </c>
      <c r="AF84" s="381">
        <f t="shared" si="32"/>
        <v>0</v>
      </c>
      <c r="AG84" s="380">
        <f t="shared" si="40"/>
        <v>0</v>
      </c>
      <c r="AH84" s="380">
        <f t="shared" si="41"/>
        <v>0</v>
      </c>
      <c r="AI84" s="380">
        <f>IF(AD84&lt;=0,0,AD84*IF('Simulador 7x5'!$Y$81=1,0,'Simulador 7x5'!$U$75))+IF(AD84&lt;=0,0,IF('Simulador 7x5'!$T$41=1,'Simulador 7x5'!$E$55,'Simulador 7x5'!$G$55))</f>
        <v>0</v>
      </c>
      <c r="AJ84" s="380">
        <f t="shared" si="26"/>
        <v>0</v>
      </c>
      <c r="AK84" s="109">
        <f t="shared" si="33"/>
        <v>0</v>
      </c>
      <c r="AM84" s="141">
        <v>5</v>
      </c>
      <c r="AN84" s="2">
        <v>8</v>
      </c>
      <c r="AO84" s="329">
        <f t="shared" si="34"/>
        <v>0</v>
      </c>
      <c r="AP84" s="329">
        <f t="shared" si="35"/>
        <v>0</v>
      </c>
      <c r="AQ84" s="20">
        <f t="shared" si="36"/>
        <v>0</v>
      </c>
      <c r="AR84" s="36"/>
      <c r="AS84">
        <f t="shared" si="42"/>
        <v>0</v>
      </c>
      <c r="AT84" s="384">
        <f t="shared" si="43"/>
      </c>
      <c r="AU84" s="385">
        <f t="shared" si="37"/>
        <v>0</v>
      </c>
      <c r="AV84" s="36">
        <v>68</v>
      </c>
    </row>
    <row r="85" spans="1:48" ht="12.75">
      <c r="A85" s="443">
        <v>69</v>
      </c>
      <c r="B85" s="498">
        <f t="shared" si="22"/>
        <v>0</v>
      </c>
      <c r="C85" s="499"/>
      <c r="D85" s="498">
        <f t="shared" si="23"/>
        <v>0</v>
      </c>
      <c r="E85" s="500"/>
      <c r="F85" s="500">
        <f t="shared" si="27"/>
        <v>0</v>
      </c>
      <c r="G85" s="500"/>
      <c r="H85" s="500">
        <f t="shared" si="38"/>
        <v>0</v>
      </c>
      <c r="I85" s="501"/>
      <c r="J85" s="506"/>
      <c r="K85" s="501"/>
      <c r="L85" s="502"/>
      <c r="M85" s="501"/>
      <c r="N85" s="500">
        <v>0</v>
      </c>
      <c r="O85" s="6"/>
      <c r="P85" s="457">
        <f t="shared" si="28"/>
        <v>0</v>
      </c>
      <c r="Q85" s="1"/>
      <c r="R85" s="500">
        <f t="shared" si="29"/>
        <v>0</v>
      </c>
      <c r="S85" s="500"/>
      <c r="T85" s="500">
        <f>IF(B85&lt;=0,0,B85*IF('Simulador 7x5'!$Y$81=1,0,'Simulador 7x5'!$U$75))</f>
        <v>0</v>
      </c>
      <c r="U85" s="500"/>
      <c r="V85" s="513">
        <f>IF(B85&lt;=0,0,IF('Simulador 7x5'!$T$41=1,'Simulador 7x5'!$E$55,'Simulador 7x5'!$G$55))</f>
        <v>0</v>
      </c>
      <c r="W85" s="500"/>
      <c r="X85" s="500">
        <f t="shared" si="30"/>
        <v>0</v>
      </c>
      <c r="Y85" s="7"/>
      <c r="Z85" s="12"/>
      <c r="AA85" s="17"/>
      <c r="AB85" s="2">
        <f t="shared" si="31"/>
        <v>0</v>
      </c>
      <c r="AC85" s="21">
        <f t="shared" si="24"/>
        <v>0</v>
      </c>
      <c r="AD85" s="380">
        <f t="shared" si="39"/>
        <v>0</v>
      </c>
      <c r="AE85" s="380">
        <f t="shared" si="25"/>
        <v>0</v>
      </c>
      <c r="AF85" s="381">
        <f t="shared" si="32"/>
        <v>0</v>
      </c>
      <c r="AG85" s="380">
        <f t="shared" si="40"/>
        <v>0</v>
      </c>
      <c r="AH85" s="380">
        <f t="shared" si="41"/>
        <v>0</v>
      </c>
      <c r="AI85" s="380">
        <f>IF(AD85&lt;=0,0,AD85*IF('Simulador 7x5'!$Y$81=1,0,'Simulador 7x5'!$U$75))+IF(AD85&lt;=0,0,IF('Simulador 7x5'!$T$41=1,'Simulador 7x5'!$E$55,'Simulador 7x5'!$G$55))</f>
        <v>0</v>
      </c>
      <c r="AJ85" s="380">
        <f t="shared" si="26"/>
        <v>0</v>
      </c>
      <c r="AK85" s="109">
        <f t="shared" si="33"/>
        <v>0</v>
      </c>
      <c r="AM85" s="141">
        <v>5</v>
      </c>
      <c r="AN85" s="140">
        <v>9</v>
      </c>
      <c r="AO85" s="329">
        <f t="shared" si="34"/>
        <v>0</v>
      </c>
      <c r="AP85" s="329">
        <f t="shared" si="35"/>
        <v>0</v>
      </c>
      <c r="AQ85" s="20">
        <f t="shared" si="36"/>
        <v>0</v>
      </c>
      <c r="AR85" s="36"/>
      <c r="AS85">
        <f t="shared" si="42"/>
        <v>0</v>
      </c>
      <c r="AT85" s="384">
        <f t="shared" si="43"/>
      </c>
      <c r="AU85" s="385">
        <f t="shared" si="37"/>
        <v>0</v>
      </c>
      <c r="AV85" s="36">
        <v>69</v>
      </c>
    </row>
    <row r="86" spans="1:48" ht="12.75">
      <c r="A86" s="443">
        <v>70</v>
      </c>
      <c r="B86" s="498">
        <f t="shared" si="22"/>
        <v>0</v>
      </c>
      <c r="C86" s="499"/>
      <c r="D86" s="498">
        <f t="shared" si="23"/>
        <v>0</v>
      </c>
      <c r="E86" s="500"/>
      <c r="F86" s="500">
        <f t="shared" si="27"/>
        <v>0</v>
      </c>
      <c r="G86" s="500"/>
      <c r="H86" s="500">
        <f t="shared" si="38"/>
        <v>0</v>
      </c>
      <c r="I86" s="501"/>
      <c r="J86" s="505">
        <f>IF(B86-H86=0,0,J84)</f>
        <v>0</v>
      </c>
      <c r="K86" s="501"/>
      <c r="L86" s="502"/>
      <c r="M86" s="501"/>
      <c r="N86" s="500">
        <v>0</v>
      </c>
      <c r="O86" s="6"/>
      <c r="P86" s="457">
        <f t="shared" si="28"/>
        <v>0</v>
      </c>
      <c r="Q86" s="1"/>
      <c r="R86" s="500">
        <f t="shared" si="29"/>
        <v>0</v>
      </c>
      <c r="S86" s="500"/>
      <c r="T86" s="500">
        <f>IF(B86&lt;=0,0,B86*IF('Simulador 7x5'!$Y$81=1,0,'Simulador 7x5'!$U$75))</f>
        <v>0</v>
      </c>
      <c r="U86" s="500"/>
      <c r="V86" s="513">
        <f>IF(B86&lt;=0,0,IF('Simulador 7x5'!$T$41=1,'Simulador 7x5'!$E$55,'Simulador 7x5'!$G$55))</f>
        <v>0</v>
      </c>
      <c r="W86" s="500"/>
      <c r="X86" s="500">
        <f t="shared" si="30"/>
        <v>0</v>
      </c>
      <c r="Y86" s="7"/>
      <c r="Z86" s="12"/>
      <c r="AA86" s="17"/>
      <c r="AB86" s="2">
        <f t="shared" si="31"/>
        <v>0</v>
      </c>
      <c r="AC86" s="21">
        <f t="shared" si="24"/>
        <v>0</v>
      </c>
      <c r="AD86" s="380">
        <f t="shared" si="39"/>
        <v>0</v>
      </c>
      <c r="AE86" s="380">
        <f t="shared" si="25"/>
        <v>0</v>
      </c>
      <c r="AF86" s="381">
        <f t="shared" si="32"/>
        <v>0</v>
      </c>
      <c r="AG86" s="380">
        <f t="shared" si="40"/>
        <v>0</v>
      </c>
      <c r="AH86" s="380">
        <f t="shared" si="41"/>
        <v>0</v>
      </c>
      <c r="AI86" s="380">
        <f>IF(AD86&lt;=0,0,AD86*IF('Simulador 7x5'!$Y$81=1,0,'Simulador 7x5'!$U$75))+IF(AD86&lt;=0,0,IF('Simulador 7x5'!$T$41=1,'Simulador 7x5'!$E$55,'Simulador 7x5'!$G$55))</f>
        <v>0</v>
      </c>
      <c r="AJ86" s="380">
        <f t="shared" si="26"/>
        <v>0</v>
      </c>
      <c r="AK86" s="109">
        <f t="shared" si="33"/>
        <v>0</v>
      </c>
      <c r="AM86" s="141">
        <v>5</v>
      </c>
      <c r="AN86" s="140">
        <v>10</v>
      </c>
      <c r="AO86" s="329">
        <f t="shared" si="34"/>
        <v>0</v>
      </c>
      <c r="AP86" s="329">
        <f t="shared" si="35"/>
        <v>0</v>
      </c>
      <c r="AQ86" s="20">
        <f t="shared" si="36"/>
        <v>0</v>
      </c>
      <c r="AR86" s="36"/>
      <c r="AS86">
        <f t="shared" si="42"/>
        <v>0</v>
      </c>
      <c r="AT86" s="384">
        <f t="shared" si="43"/>
      </c>
      <c r="AU86" s="385">
        <f t="shared" si="37"/>
        <v>0</v>
      </c>
      <c r="AV86" s="36">
        <v>70</v>
      </c>
    </row>
    <row r="87" spans="1:48" ht="12.75">
      <c r="A87" s="443">
        <v>71</v>
      </c>
      <c r="B87" s="498">
        <f t="shared" si="22"/>
        <v>0</v>
      </c>
      <c r="C87" s="499"/>
      <c r="D87" s="498">
        <f t="shared" si="23"/>
        <v>0</v>
      </c>
      <c r="E87" s="500"/>
      <c r="F87" s="500">
        <f t="shared" si="27"/>
        <v>0</v>
      </c>
      <c r="G87" s="500"/>
      <c r="H87" s="500">
        <f t="shared" si="38"/>
        <v>0</v>
      </c>
      <c r="I87" s="501"/>
      <c r="J87" s="506"/>
      <c r="K87" s="501"/>
      <c r="L87" s="502"/>
      <c r="M87" s="501"/>
      <c r="N87" s="500">
        <v>0</v>
      </c>
      <c r="O87" s="6"/>
      <c r="P87" s="457">
        <f t="shared" si="28"/>
        <v>0</v>
      </c>
      <c r="Q87" s="1"/>
      <c r="R87" s="500">
        <f t="shared" si="29"/>
        <v>0</v>
      </c>
      <c r="S87" s="500"/>
      <c r="T87" s="500">
        <f>IF(B87&lt;=0,0,B87*IF('Simulador 7x5'!$Y$81=1,0,'Simulador 7x5'!$U$75))</f>
        <v>0</v>
      </c>
      <c r="U87" s="500"/>
      <c r="V87" s="513">
        <f>IF(B87&lt;=0,0,IF('Simulador 7x5'!$T$41=1,'Simulador 7x5'!$E$55,'Simulador 7x5'!$G$55))</f>
        <v>0</v>
      </c>
      <c r="W87" s="500"/>
      <c r="X87" s="500">
        <f t="shared" si="30"/>
        <v>0</v>
      </c>
      <c r="Y87" s="7"/>
      <c r="Z87" s="12"/>
      <c r="AA87" s="17"/>
      <c r="AB87" s="2">
        <f t="shared" si="31"/>
        <v>0</v>
      </c>
      <c r="AC87" s="21">
        <f t="shared" si="24"/>
        <v>0</v>
      </c>
      <c r="AD87" s="380">
        <f t="shared" si="39"/>
        <v>0</v>
      </c>
      <c r="AE87" s="380">
        <f t="shared" si="25"/>
        <v>0</v>
      </c>
      <c r="AF87" s="381">
        <f t="shared" si="32"/>
        <v>0</v>
      </c>
      <c r="AG87" s="380">
        <f t="shared" si="40"/>
        <v>0</v>
      </c>
      <c r="AH87" s="380">
        <f t="shared" si="41"/>
        <v>0</v>
      </c>
      <c r="AI87" s="380">
        <f>IF(AD87&lt;=0,0,AD87*IF('Simulador 7x5'!$Y$81=1,0,'Simulador 7x5'!$U$75))+IF(AD87&lt;=0,0,IF('Simulador 7x5'!$T$41=1,'Simulador 7x5'!$E$55,'Simulador 7x5'!$G$55))</f>
        <v>0</v>
      </c>
      <c r="AJ87" s="380">
        <f t="shared" si="26"/>
        <v>0</v>
      </c>
      <c r="AK87" s="109">
        <f t="shared" si="33"/>
        <v>0</v>
      </c>
      <c r="AM87" s="141">
        <v>5</v>
      </c>
      <c r="AN87" s="2">
        <v>11</v>
      </c>
      <c r="AO87" s="329">
        <f t="shared" si="34"/>
        <v>0</v>
      </c>
      <c r="AP87" s="329">
        <f t="shared" si="35"/>
        <v>0</v>
      </c>
      <c r="AQ87" s="20">
        <f t="shared" si="36"/>
        <v>0</v>
      </c>
      <c r="AR87" s="36"/>
      <c r="AS87">
        <f t="shared" si="42"/>
        <v>0</v>
      </c>
      <c r="AT87" s="384">
        <f t="shared" si="43"/>
      </c>
      <c r="AU87" s="385">
        <f t="shared" si="37"/>
        <v>0</v>
      </c>
      <c r="AV87" s="36">
        <v>71</v>
      </c>
    </row>
    <row r="88" spans="1:48" ht="12.75">
      <c r="A88" s="443">
        <v>72</v>
      </c>
      <c r="B88" s="498">
        <f t="shared" si="22"/>
        <v>0</v>
      </c>
      <c r="C88" s="499"/>
      <c r="D88" s="498">
        <f t="shared" si="23"/>
        <v>0</v>
      </c>
      <c r="E88" s="500"/>
      <c r="F88" s="500">
        <f t="shared" si="27"/>
        <v>0</v>
      </c>
      <c r="G88" s="500"/>
      <c r="H88" s="500">
        <f t="shared" si="38"/>
        <v>0</v>
      </c>
      <c r="I88" s="501"/>
      <c r="J88" s="505">
        <f>IF(B88-H88=0,0,J86)</f>
        <v>0</v>
      </c>
      <c r="K88" s="501"/>
      <c r="L88" s="502"/>
      <c r="M88" s="501"/>
      <c r="N88" s="500">
        <v>0</v>
      </c>
      <c r="O88" s="6"/>
      <c r="P88" s="457">
        <f t="shared" si="28"/>
        <v>0</v>
      </c>
      <c r="Q88" s="1"/>
      <c r="R88" s="500">
        <f t="shared" si="29"/>
        <v>0</v>
      </c>
      <c r="S88" s="500"/>
      <c r="T88" s="500">
        <f>IF(B88&lt;=0,0,B88*IF('Simulador 7x5'!$Y$81=1,0,'Simulador 7x5'!$U$75))</f>
        <v>0</v>
      </c>
      <c r="U88" s="500"/>
      <c r="V88" s="513">
        <f>IF(B88&lt;=0,0,IF('Simulador 7x5'!$T$41=1,'Simulador 7x5'!$E$55,'Simulador 7x5'!$G$55))</f>
        <v>0</v>
      </c>
      <c r="W88" s="500"/>
      <c r="X88" s="500">
        <f t="shared" si="30"/>
        <v>0</v>
      </c>
      <c r="Y88" s="7"/>
      <c r="Z88" s="12"/>
      <c r="AA88" s="17"/>
      <c r="AB88" s="2">
        <f t="shared" si="31"/>
        <v>0</v>
      </c>
      <c r="AC88" s="21">
        <f t="shared" si="24"/>
        <v>0</v>
      </c>
      <c r="AD88" s="380">
        <f t="shared" si="39"/>
        <v>0</v>
      </c>
      <c r="AE88" s="380">
        <f t="shared" si="25"/>
        <v>0</v>
      </c>
      <c r="AF88" s="381">
        <f t="shared" si="32"/>
        <v>0</v>
      </c>
      <c r="AG88" s="380">
        <f t="shared" si="40"/>
        <v>0</v>
      </c>
      <c r="AH88" s="380">
        <f t="shared" si="41"/>
        <v>0</v>
      </c>
      <c r="AI88" s="380">
        <f>IF(AD88&lt;=0,0,AD88*IF('Simulador 7x5'!$Y$81=1,0,'Simulador 7x5'!$U$75))+IF(AD88&lt;=0,0,IF('Simulador 7x5'!$T$41=1,'Simulador 7x5'!$E$55,'Simulador 7x5'!$G$55))</f>
        <v>0</v>
      </c>
      <c r="AJ88" s="380">
        <f t="shared" si="26"/>
        <v>0</v>
      </c>
      <c r="AK88" s="109">
        <f t="shared" si="33"/>
        <v>0</v>
      </c>
      <c r="AM88" s="141">
        <v>6</v>
      </c>
      <c r="AN88" s="2">
        <v>0</v>
      </c>
      <c r="AO88" s="329">
        <f t="shared" si="34"/>
        <v>0</v>
      </c>
      <c r="AP88" s="329">
        <f t="shared" si="35"/>
        <v>0</v>
      </c>
      <c r="AQ88" s="20">
        <f t="shared" si="36"/>
        <v>0</v>
      </c>
      <c r="AR88" s="36"/>
      <c r="AS88">
        <f t="shared" si="42"/>
        <v>0</v>
      </c>
      <c r="AT88" s="384">
        <f t="shared" si="43"/>
      </c>
      <c r="AU88" s="385">
        <f t="shared" si="37"/>
        <v>0</v>
      </c>
      <c r="AV88" s="36">
        <v>72</v>
      </c>
    </row>
    <row r="89" spans="1:48" ht="12.75">
      <c r="A89" s="443">
        <v>73</v>
      </c>
      <c r="B89" s="498">
        <f t="shared" si="22"/>
        <v>0</v>
      </c>
      <c r="C89" s="499"/>
      <c r="D89" s="498">
        <f t="shared" si="23"/>
        <v>0</v>
      </c>
      <c r="E89" s="500"/>
      <c r="F89" s="500">
        <f t="shared" si="27"/>
        <v>0</v>
      </c>
      <c r="G89" s="500"/>
      <c r="H89" s="500">
        <f t="shared" si="38"/>
        <v>0</v>
      </c>
      <c r="I89" s="501"/>
      <c r="J89" s="506"/>
      <c r="K89" s="501"/>
      <c r="L89" s="502"/>
      <c r="M89" s="501"/>
      <c r="N89" s="500">
        <v>0</v>
      </c>
      <c r="O89" s="6"/>
      <c r="P89" s="457">
        <f t="shared" si="28"/>
        <v>0</v>
      </c>
      <c r="Q89" s="1"/>
      <c r="R89" s="500">
        <f t="shared" si="29"/>
        <v>0</v>
      </c>
      <c r="S89" s="500"/>
      <c r="T89" s="500">
        <f>IF(B89&lt;=0,0,B89*IF('Simulador 7x5'!$Y$81=1,0,'Simulador 7x5'!$U$75))</f>
        <v>0</v>
      </c>
      <c r="U89" s="500"/>
      <c r="V89" s="513">
        <f>IF(B89&lt;=0,0,IF('Simulador 7x5'!$T$41=1,'Simulador 7x5'!$E$55,'Simulador 7x5'!$G$55))</f>
        <v>0</v>
      </c>
      <c r="W89" s="500"/>
      <c r="X89" s="500">
        <f t="shared" si="30"/>
        <v>0</v>
      </c>
      <c r="Y89" s="7"/>
      <c r="Z89" s="12">
        <f>IF(B89&lt;=0,0,'Simulador 7x5'!$AE$54)</f>
        <v>0</v>
      </c>
      <c r="AA89" s="17"/>
      <c r="AB89" s="2">
        <f t="shared" si="31"/>
        <v>0</v>
      </c>
      <c r="AC89" s="21">
        <f t="shared" si="24"/>
        <v>0</v>
      </c>
      <c r="AD89" s="380">
        <f t="shared" si="39"/>
        <v>0</v>
      </c>
      <c r="AE89" s="380">
        <f t="shared" si="25"/>
        <v>0</v>
      </c>
      <c r="AF89" s="381">
        <f t="shared" si="32"/>
        <v>0</v>
      </c>
      <c r="AG89" s="380">
        <f t="shared" si="40"/>
        <v>0</v>
      </c>
      <c r="AH89" s="380">
        <f t="shared" si="41"/>
        <v>0</v>
      </c>
      <c r="AI89" s="380">
        <f>IF(AD89&lt;=0,0,AD89*IF('Simulador 7x5'!$Y$81=1,0,'Simulador 7x5'!$U$75))+IF(AD89&lt;=0,0,IF('Simulador 7x5'!$T$41=1,'Simulador 7x5'!$E$55,'Simulador 7x5'!$G$55))</f>
        <v>0</v>
      </c>
      <c r="AJ89" s="380">
        <f t="shared" si="26"/>
        <v>0</v>
      </c>
      <c r="AK89" s="109">
        <f t="shared" si="33"/>
        <v>0</v>
      </c>
      <c r="AM89" s="141">
        <v>6</v>
      </c>
      <c r="AN89" s="2">
        <v>1</v>
      </c>
      <c r="AO89" s="329">
        <f t="shared" si="34"/>
        <v>0</v>
      </c>
      <c r="AP89" s="329">
        <f t="shared" si="35"/>
        <v>0</v>
      </c>
      <c r="AQ89" s="20">
        <f t="shared" si="36"/>
        <v>0</v>
      </c>
      <c r="AR89" s="36"/>
      <c r="AS89">
        <f t="shared" si="42"/>
        <v>0</v>
      </c>
      <c r="AT89" s="384">
        <f t="shared" si="43"/>
      </c>
      <c r="AU89" s="385">
        <f t="shared" si="37"/>
        <v>0</v>
      </c>
      <c r="AV89" s="36">
        <v>73</v>
      </c>
    </row>
    <row r="90" spans="1:48" ht="12.75">
      <c r="A90" s="443">
        <v>74</v>
      </c>
      <c r="B90" s="498">
        <f t="shared" si="22"/>
        <v>0</v>
      </c>
      <c r="C90" s="499"/>
      <c r="D90" s="498">
        <f t="shared" si="23"/>
        <v>0</v>
      </c>
      <c r="E90" s="500"/>
      <c r="F90" s="500">
        <f t="shared" si="27"/>
        <v>0</v>
      </c>
      <c r="G90" s="500"/>
      <c r="H90" s="500">
        <f t="shared" si="38"/>
        <v>0</v>
      </c>
      <c r="I90" s="501"/>
      <c r="J90" s="505">
        <f>IF(B90-H90=0,0,J88*(1+(3%)))</f>
        <v>0</v>
      </c>
      <c r="K90" s="501"/>
      <c r="L90" s="502"/>
      <c r="M90" s="501"/>
      <c r="N90" s="500">
        <v>0</v>
      </c>
      <c r="O90" s="6"/>
      <c r="P90" s="457">
        <f t="shared" si="28"/>
        <v>0</v>
      </c>
      <c r="Q90" s="1"/>
      <c r="R90" s="500">
        <f t="shared" si="29"/>
        <v>0</v>
      </c>
      <c r="S90" s="500"/>
      <c r="T90" s="500">
        <f>IF(B90&lt;=0,0,B90*IF('Simulador 7x5'!$Y$81=1,0,'Simulador 7x5'!$U$75))</f>
        <v>0</v>
      </c>
      <c r="U90" s="500"/>
      <c r="V90" s="513">
        <f>IF(B90&lt;=0,0,IF('Simulador 7x5'!$T$41=1,'Simulador 7x5'!$E$55,'Simulador 7x5'!$G$55))</f>
        <v>0</v>
      </c>
      <c r="W90" s="500"/>
      <c r="X90" s="500">
        <f t="shared" si="30"/>
        <v>0</v>
      </c>
      <c r="Y90" s="7"/>
      <c r="Z90" s="12"/>
      <c r="AA90" s="17"/>
      <c r="AB90" s="2">
        <f t="shared" si="31"/>
        <v>0</v>
      </c>
      <c r="AC90" s="21">
        <f t="shared" si="24"/>
        <v>0</v>
      </c>
      <c r="AD90" s="380">
        <f t="shared" si="39"/>
        <v>0</v>
      </c>
      <c r="AE90" s="380">
        <f t="shared" si="25"/>
        <v>0</v>
      </c>
      <c r="AF90" s="381">
        <f t="shared" si="32"/>
        <v>0</v>
      </c>
      <c r="AG90" s="380">
        <f t="shared" si="40"/>
        <v>0</v>
      </c>
      <c r="AH90" s="380">
        <f t="shared" si="41"/>
        <v>0</v>
      </c>
      <c r="AI90" s="380">
        <f>IF(AD90&lt;=0,0,AD90*IF('Simulador 7x5'!$Y$81=1,0,'Simulador 7x5'!$U$75))+IF(AD90&lt;=0,0,IF('Simulador 7x5'!$T$41=1,'Simulador 7x5'!$E$55,'Simulador 7x5'!$G$55))</f>
        <v>0</v>
      </c>
      <c r="AJ90" s="380">
        <f t="shared" si="26"/>
        <v>0</v>
      </c>
      <c r="AK90" s="109">
        <f t="shared" si="33"/>
        <v>0</v>
      </c>
      <c r="AM90" s="141">
        <v>6</v>
      </c>
      <c r="AN90" s="139">
        <v>2</v>
      </c>
      <c r="AO90" s="329">
        <f t="shared" si="34"/>
        <v>0</v>
      </c>
      <c r="AP90" s="329">
        <f t="shared" si="35"/>
        <v>0</v>
      </c>
      <c r="AQ90" s="20">
        <f t="shared" si="36"/>
        <v>0</v>
      </c>
      <c r="AR90" s="36"/>
      <c r="AS90">
        <f t="shared" si="42"/>
        <v>0</v>
      </c>
      <c r="AT90" s="384">
        <f t="shared" si="43"/>
      </c>
      <c r="AU90" s="385">
        <f t="shared" si="37"/>
        <v>0</v>
      </c>
      <c r="AV90" s="36">
        <v>74</v>
      </c>
    </row>
    <row r="91" spans="1:48" ht="12.75">
      <c r="A91" s="443">
        <v>75</v>
      </c>
      <c r="B91" s="498">
        <f t="shared" si="22"/>
        <v>0</v>
      </c>
      <c r="C91" s="499"/>
      <c r="D91" s="498">
        <f t="shared" si="23"/>
        <v>0</v>
      </c>
      <c r="E91" s="500"/>
      <c r="F91" s="500">
        <f t="shared" si="27"/>
        <v>0</v>
      </c>
      <c r="G91" s="500"/>
      <c r="H91" s="500">
        <f t="shared" si="38"/>
        <v>0</v>
      </c>
      <c r="I91" s="501"/>
      <c r="J91" s="506"/>
      <c r="K91" s="501"/>
      <c r="L91" s="502"/>
      <c r="M91" s="501"/>
      <c r="N91" s="500">
        <v>0</v>
      </c>
      <c r="O91" s="6"/>
      <c r="P91" s="457">
        <f t="shared" si="28"/>
        <v>0</v>
      </c>
      <c r="Q91" s="1"/>
      <c r="R91" s="500">
        <f t="shared" si="29"/>
        <v>0</v>
      </c>
      <c r="S91" s="500"/>
      <c r="T91" s="500">
        <f>IF(B91&lt;=0,0,B91*IF('Simulador 7x5'!$Y$81=1,0,'Simulador 7x5'!$U$75))</f>
        <v>0</v>
      </c>
      <c r="U91" s="500"/>
      <c r="V91" s="513">
        <f>IF(B91&lt;=0,0,IF('Simulador 7x5'!$T$41=1,'Simulador 7x5'!$E$55,'Simulador 7x5'!$G$55))</f>
        <v>0</v>
      </c>
      <c r="W91" s="500"/>
      <c r="X91" s="500">
        <f t="shared" si="30"/>
        <v>0</v>
      </c>
      <c r="Y91" s="7"/>
      <c r="Z91" s="12"/>
      <c r="AA91" s="17"/>
      <c r="AB91" s="2">
        <f t="shared" si="31"/>
        <v>0</v>
      </c>
      <c r="AC91" s="21">
        <f t="shared" si="24"/>
        <v>0</v>
      </c>
      <c r="AD91" s="380">
        <f t="shared" si="39"/>
        <v>0</v>
      </c>
      <c r="AE91" s="380">
        <f t="shared" si="25"/>
        <v>0</v>
      </c>
      <c r="AF91" s="381">
        <f t="shared" si="32"/>
        <v>0</v>
      </c>
      <c r="AG91" s="380">
        <f t="shared" si="40"/>
        <v>0</v>
      </c>
      <c r="AH91" s="380">
        <f t="shared" si="41"/>
        <v>0</v>
      </c>
      <c r="AI91" s="380">
        <f>IF(AD91&lt;=0,0,AD91*IF('Simulador 7x5'!$Y$81=1,0,'Simulador 7x5'!$U$75))+IF(AD91&lt;=0,0,IF('Simulador 7x5'!$T$41=1,'Simulador 7x5'!$E$55,'Simulador 7x5'!$G$55))</f>
        <v>0</v>
      </c>
      <c r="AJ91" s="380">
        <f t="shared" si="26"/>
        <v>0</v>
      </c>
      <c r="AK91" s="109">
        <f t="shared" si="33"/>
        <v>0</v>
      </c>
      <c r="AM91" s="141">
        <v>6</v>
      </c>
      <c r="AN91" s="139">
        <v>3</v>
      </c>
      <c r="AO91" s="329">
        <f t="shared" si="34"/>
        <v>0</v>
      </c>
      <c r="AP91" s="329">
        <f t="shared" si="35"/>
        <v>0</v>
      </c>
      <c r="AQ91" s="20">
        <f t="shared" si="36"/>
        <v>0</v>
      </c>
      <c r="AR91" s="36"/>
      <c r="AS91">
        <f t="shared" si="42"/>
        <v>0</v>
      </c>
      <c r="AT91" s="384">
        <f t="shared" si="43"/>
      </c>
      <c r="AU91" s="385">
        <f t="shared" si="37"/>
        <v>0</v>
      </c>
      <c r="AV91" s="36">
        <v>75</v>
      </c>
    </row>
    <row r="92" spans="1:48" ht="12.75">
      <c r="A92" s="443">
        <v>76</v>
      </c>
      <c r="B92" s="498">
        <f t="shared" si="22"/>
        <v>0</v>
      </c>
      <c r="C92" s="499"/>
      <c r="D92" s="498">
        <f t="shared" si="23"/>
        <v>0</v>
      </c>
      <c r="E92" s="500"/>
      <c r="F92" s="500">
        <f t="shared" si="27"/>
        <v>0</v>
      </c>
      <c r="G92" s="500"/>
      <c r="H92" s="500">
        <f t="shared" si="38"/>
        <v>0</v>
      </c>
      <c r="I92" s="501"/>
      <c r="J92" s="505">
        <f>IF(B92-H92=0,0,J90)</f>
        <v>0</v>
      </c>
      <c r="K92" s="501"/>
      <c r="L92" s="502"/>
      <c r="M92" s="501"/>
      <c r="N92" s="500">
        <v>0</v>
      </c>
      <c r="O92" s="6"/>
      <c r="P92" s="457">
        <f t="shared" si="28"/>
        <v>0</v>
      </c>
      <c r="Q92" s="1"/>
      <c r="R92" s="500">
        <f t="shared" si="29"/>
        <v>0</v>
      </c>
      <c r="S92" s="500"/>
      <c r="T92" s="500">
        <f>IF(B92&lt;=0,0,B92*IF('Simulador 7x5'!$Y$81=1,0,'Simulador 7x5'!$U$75))</f>
        <v>0</v>
      </c>
      <c r="U92" s="500"/>
      <c r="V92" s="513">
        <f>IF(B92&lt;=0,0,IF('Simulador 7x5'!$T$41=1,'Simulador 7x5'!$E$55,'Simulador 7x5'!$G$55))</f>
        <v>0</v>
      </c>
      <c r="W92" s="500"/>
      <c r="X92" s="500">
        <f t="shared" si="30"/>
        <v>0</v>
      </c>
      <c r="Y92" s="7"/>
      <c r="Z92" s="12"/>
      <c r="AA92" s="17"/>
      <c r="AB92" s="2">
        <f t="shared" si="31"/>
        <v>0</v>
      </c>
      <c r="AC92" s="21">
        <f t="shared" si="24"/>
        <v>0</v>
      </c>
      <c r="AD92" s="380">
        <f t="shared" si="39"/>
        <v>0</v>
      </c>
      <c r="AE92" s="380">
        <f t="shared" si="25"/>
        <v>0</v>
      </c>
      <c r="AF92" s="381">
        <f t="shared" si="32"/>
        <v>0</v>
      </c>
      <c r="AG92" s="380">
        <f t="shared" si="40"/>
        <v>0</v>
      </c>
      <c r="AH92" s="380">
        <f t="shared" si="41"/>
        <v>0</v>
      </c>
      <c r="AI92" s="380">
        <f>IF(AD92&lt;=0,0,AD92*IF('Simulador 7x5'!$Y$81=1,0,'Simulador 7x5'!$U$75))+IF(AD92&lt;=0,0,IF('Simulador 7x5'!$T$41=1,'Simulador 7x5'!$E$55,'Simulador 7x5'!$G$55))</f>
        <v>0</v>
      </c>
      <c r="AJ92" s="380">
        <f t="shared" si="26"/>
        <v>0</v>
      </c>
      <c r="AK92" s="109">
        <f t="shared" si="33"/>
        <v>0</v>
      </c>
      <c r="AM92" s="141">
        <v>6</v>
      </c>
      <c r="AN92" s="2">
        <v>4</v>
      </c>
      <c r="AO92" s="329">
        <f t="shared" si="34"/>
        <v>0</v>
      </c>
      <c r="AP92" s="329">
        <f t="shared" si="35"/>
        <v>0</v>
      </c>
      <c r="AQ92" s="20">
        <f t="shared" si="36"/>
        <v>0</v>
      </c>
      <c r="AR92" s="36"/>
      <c r="AS92">
        <f t="shared" si="42"/>
        <v>0</v>
      </c>
      <c r="AT92" s="384">
        <f t="shared" si="43"/>
      </c>
      <c r="AU92" s="385">
        <f t="shared" si="37"/>
        <v>0</v>
      </c>
      <c r="AV92" s="36">
        <v>76</v>
      </c>
    </row>
    <row r="93" spans="1:48" ht="12.75">
      <c r="A93" s="443">
        <v>77</v>
      </c>
      <c r="B93" s="498">
        <f t="shared" si="22"/>
        <v>0</v>
      </c>
      <c r="C93" s="499"/>
      <c r="D93" s="498">
        <f t="shared" si="23"/>
        <v>0</v>
      </c>
      <c r="E93" s="500"/>
      <c r="F93" s="500">
        <f t="shared" si="27"/>
        <v>0</v>
      </c>
      <c r="G93" s="500"/>
      <c r="H93" s="500">
        <f t="shared" si="38"/>
        <v>0</v>
      </c>
      <c r="I93" s="501"/>
      <c r="J93" s="506"/>
      <c r="K93" s="501"/>
      <c r="L93" s="502"/>
      <c r="M93" s="501"/>
      <c r="N93" s="500">
        <v>0</v>
      </c>
      <c r="O93" s="6"/>
      <c r="P93" s="457">
        <f t="shared" si="28"/>
        <v>0</v>
      </c>
      <c r="Q93" s="1"/>
      <c r="R93" s="500">
        <f t="shared" si="29"/>
        <v>0</v>
      </c>
      <c r="S93" s="500"/>
      <c r="T93" s="500">
        <f>IF(B93&lt;=0,0,B93*IF('Simulador 7x5'!$Y$81=1,0,'Simulador 7x5'!$U$75))</f>
        <v>0</v>
      </c>
      <c r="U93" s="500"/>
      <c r="V93" s="513">
        <f>IF(B93&lt;=0,0,IF('Simulador 7x5'!$T$41=1,'Simulador 7x5'!$E$55,'Simulador 7x5'!$G$55))</f>
        <v>0</v>
      </c>
      <c r="W93" s="500"/>
      <c r="X93" s="500">
        <f t="shared" si="30"/>
        <v>0</v>
      </c>
      <c r="Y93" s="7"/>
      <c r="Z93" s="12"/>
      <c r="AA93" s="17"/>
      <c r="AB93" s="2">
        <f t="shared" si="31"/>
        <v>0</v>
      </c>
      <c r="AC93" s="21">
        <f t="shared" si="24"/>
        <v>0</v>
      </c>
      <c r="AD93" s="380">
        <f t="shared" si="39"/>
        <v>0</v>
      </c>
      <c r="AE93" s="380">
        <f t="shared" si="25"/>
        <v>0</v>
      </c>
      <c r="AF93" s="381">
        <f t="shared" si="32"/>
        <v>0</v>
      </c>
      <c r="AG93" s="380">
        <f t="shared" si="40"/>
        <v>0</v>
      </c>
      <c r="AH93" s="380">
        <f t="shared" si="41"/>
        <v>0</v>
      </c>
      <c r="AI93" s="380">
        <f>IF(AD93&lt;=0,0,AD93*IF('Simulador 7x5'!$Y$81=1,0,'Simulador 7x5'!$U$75))+IF(AD93&lt;=0,0,IF('Simulador 7x5'!$T$41=1,'Simulador 7x5'!$E$55,'Simulador 7x5'!$G$55))</f>
        <v>0</v>
      </c>
      <c r="AJ93" s="380">
        <f t="shared" si="26"/>
        <v>0</v>
      </c>
      <c r="AK93" s="109">
        <f t="shared" si="33"/>
        <v>0</v>
      </c>
      <c r="AM93" s="141">
        <v>6</v>
      </c>
      <c r="AN93" s="2">
        <v>5</v>
      </c>
      <c r="AO93" s="329">
        <f t="shared" si="34"/>
        <v>0</v>
      </c>
      <c r="AP93" s="329">
        <f t="shared" si="35"/>
        <v>0</v>
      </c>
      <c r="AQ93" s="20">
        <f t="shared" si="36"/>
        <v>0</v>
      </c>
      <c r="AR93" s="36"/>
      <c r="AS93">
        <f t="shared" si="42"/>
        <v>0</v>
      </c>
      <c r="AT93" s="384">
        <f t="shared" si="43"/>
      </c>
      <c r="AU93" s="385">
        <f t="shared" si="37"/>
        <v>0</v>
      </c>
      <c r="AV93" s="36">
        <v>77</v>
      </c>
    </row>
    <row r="94" spans="1:48" ht="12.75">
      <c r="A94" s="443">
        <v>78</v>
      </c>
      <c r="B94" s="498">
        <f t="shared" si="22"/>
        <v>0</v>
      </c>
      <c r="C94" s="499"/>
      <c r="D94" s="498">
        <f t="shared" si="23"/>
        <v>0</v>
      </c>
      <c r="E94" s="500"/>
      <c r="F94" s="500">
        <f t="shared" si="27"/>
        <v>0</v>
      </c>
      <c r="G94" s="500"/>
      <c r="H94" s="500">
        <f t="shared" si="38"/>
        <v>0</v>
      </c>
      <c r="I94" s="501"/>
      <c r="J94" s="505">
        <f>IF(B94-H94=0,0,J92)</f>
        <v>0</v>
      </c>
      <c r="K94" s="501"/>
      <c r="L94" s="502"/>
      <c r="M94" s="501"/>
      <c r="N94" s="500">
        <v>0</v>
      </c>
      <c r="O94" s="6"/>
      <c r="P94" s="457">
        <f t="shared" si="28"/>
        <v>0</v>
      </c>
      <c r="Q94" s="1"/>
      <c r="R94" s="500">
        <f t="shared" si="29"/>
        <v>0</v>
      </c>
      <c r="S94" s="500"/>
      <c r="T94" s="500">
        <f>IF(B94&lt;=0,0,B94*IF('Simulador 7x5'!$Y$81=1,0,'Simulador 7x5'!$U$75))</f>
        <v>0</v>
      </c>
      <c r="U94" s="500"/>
      <c r="V94" s="513">
        <f>IF(B94&lt;=0,0,IF('Simulador 7x5'!$T$41=1,'Simulador 7x5'!$E$55,'Simulador 7x5'!$G$55))</f>
        <v>0</v>
      </c>
      <c r="W94" s="500"/>
      <c r="X94" s="500">
        <f t="shared" si="30"/>
        <v>0</v>
      </c>
      <c r="Y94" s="7"/>
      <c r="Z94" s="12"/>
      <c r="AA94" s="17"/>
      <c r="AB94" s="2">
        <f t="shared" si="31"/>
        <v>0</v>
      </c>
      <c r="AC94" s="21">
        <f t="shared" si="24"/>
        <v>0</v>
      </c>
      <c r="AD94" s="380">
        <f t="shared" si="39"/>
        <v>0</v>
      </c>
      <c r="AE94" s="380">
        <f t="shared" si="25"/>
        <v>0</v>
      </c>
      <c r="AF94" s="381">
        <f t="shared" si="32"/>
        <v>0</v>
      </c>
      <c r="AG94" s="380">
        <f t="shared" si="40"/>
        <v>0</v>
      </c>
      <c r="AH94" s="380">
        <f t="shared" si="41"/>
        <v>0</v>
      </c>
      <c r="AI94" s="380">
        <f>IF(AD94&lt;=0,0,AD94*IF('Simulador 7x5'!$Y$81=1,0,'Simulador 7x5'!$U$75))+IF(AD94&lt;=0,0,IF('Simulador 7x5'!$T$41=1,'Simulador 7x5'!$E$55,'Simulador 7x5'!$G$55))</f>
        <v>0</v>
      </c>
      <c r="AJ94" s="380">
        <f t="shared" si="26"/>
        <v>0</v>
      </c>
      <c r="AK94" s="109">
        <f t="shared" si="33"/>
        <v>0</v>
      </c>
      <c r="AM94" s="141">
        <v>6</v>
      </c>
      <c r="AN94" s="2">
        <v>6</v>
      </c>
      <c r="AO94" s="329">
        <f t="shared" si="34"/>
        <v>0</v>
      </c>
      <c r="AP94" s="329">
        <f t="shared" si="35"/>
        <v>0</v>
      </c>
      <c r="AQ94" s="20">
        <f t="shared" si="36"/>
        <v>0</v>
      </c>
      <c r="AR94" s="36"/>
      <c r="AS94">
        <f t="shared" si="42"/>
        <v>0</v>
      </c>
      <c r="AT94" s="384">
        <f t="shared" si="43"/>
      </c>
      <c r="AU94" s="385">
        <f t="shared" si="37"/>
        <v>0</v>
      </c>
      <c r="AV94" s="36">
        <v>78</v>
      </c>
    </row>
    <row r="95" spans="1:48" ht="12.75">
      <c r="A95" s="443">
        <v>79</v>
      </c>
      <c r="B95" s="498">
        <f t="shared" si="22"/>
        <v>0</v>
      </c>
      <c r="C95" s="499"/>
      <c r="D95" s="498">
        <f t="shared" si="23"/>
        <v>0</v>
      </c>
      <c r="E95" s="500"/>
      <c r="F95" s="500">
        <f t="shared" si="27"/>
        <v>0</v>
      </c>
      <c r="G95" s="500"/>
      <c r="H95" s="500">
        <f t="shared" si="38"/>
        <v>0</v>
      </c>
      <c r="I95" s="501"/>
      <c r="J95" s="506"/>
      <c r="K95" s="501"/>
      <c r="L95" s="502"/>
      <c r="M95" s="501"/>
      <c r="N95" s="500">
        <v>0</v>
      </c>
      <c r="O95" s="6"/>
      <c r="P95" s="457">
        <f t="shared" si="28"/>
        <v>0</v>
      </c>
      <c r="Q95" s="1"/>
      <c r="R95" s="500">
        <f t="shared" si="29"/>
        <v>0</v>
      </c>
      <c r="S95" s="500"/>
      <c r="T95" s="500">
        <f>IF(B95&lt;=0,0,B95*IF('Simulador 7x5'!$Y$81=1,0,'Simulador 7x5'!$U$75))</f>
        <v>0</v>
      </c>
      <c r="U95" s="500"/>
      <c r="V95" s="513">
        <f>IF(B95&lt;=0,0,IF('Simulador 7x5'!$T$41=1,'Simulador 7x5'!$E$55,'Simulador 7x5'!$G$55))</f>
        <v>0</v>
      </c>
      <c r="W95" s="500"/>
      <c r="X95" s="500">
        <f t="shared" si="30"/>
        <v>0</v>
      </c>
      <c r="Y95" s="7"/>
      <c r="Z95" s="12"/>
      <c r="AA95" s="17"/>
      <c r="AB95" s="2">
        <f t="shared" si="31"/>
        <v>0</v>
      </c>
      <c r="AC95" s="21">
        <f t="shared" si="24"/>
        <v>0</v>
      </c>
      <c r="AD95" s="380">
        <f t="shared" si="39"/>
        <v>0</v>
      </c>
      <c r="AE95" s="380">
        <f t="shared" si="25"/>
        <v>0</v>
      </c>
      <c r="AF95" s="381">
        <f t="shared" si="32"/>
        <v>0</v>
      </c>
      <c r="AG95" s="380">
        <f t="shared" si="40"/>
        <v>0</v>
      </c>
      <c r="AH95" s="380">
        <f t="shared" si="41"/>
        <v>0</v>
      </c>
      <c r="AI95" s="380">
        <f>IF(AD95&lt;=0,0,AD95*IF('Simulador 7x5'!$Y$81=1,0,'Simulador 7x5'!$U$75))+IF(AD95&lt;=0,0,IF('Simulador 7x5'!$T$41=1,'Simulador 7x5'!$E$55,'Simulador 7x5'!$G$55))</f>
        <v>0</v>
      </c>
      <c r="AJ95" s="380">
        <f t="shared" si="26"/>
        <v>0</v>
      </c>
      <c r="AK95" s="109">
        <f t="shared" si="33"/>
        <v>0</v>
      </c>
      <c r="AM95" s="141">
        <v>6</v>
      </c>
      <c r="AN95" s="2">
        <v>7</v>
      </c>
      <c r="AO95" s="329">
        <f t="shared" si="34"/>
        <v>0</v>
      </c>
      <c r="AP95" s="329">
        <f t="shared" si="35"/>
        <v>0</v>
      </c>
      <c r="AQ95" s="20">
        <f t="shared" si="36"/>
        <v>0</v>
      </c>
      <c r="AR95" s="36"/>
      <c r="AS95">
        <f t="shared" si="42"/>
        <v>0</v>
      </c>
      <c r="AT95" s="384">
        <f t="shared" si="43"/>
      </c>
      <c r="AU95" s="385">
        <f t="shared" si="37"/>
        <v>0</v>
      </c>
      <c r="AV95" s="36">
        <v>79</v>
      </c>
    </row>
    <row r="96" spans="1:48" ht="12.75">
      <c r="A96" s="443">
        <v>80</v>
      </c>
      <c r="B96" s="498">
        <f t="shared" si="22"/>
        <v>0</v>
      </c>
      <c r="C96" s="499"/>
      <c r="D96" s="498">
        <f t="shared" si="23"/>
        <v>0</v>
      </c>
      <c r="E96" s="500"/>
      <c r="F96" s="500">
        <f t="shared" si="27"/>
        <v>0</v>
      </c>
      <c r="G96" s="500"/>
      <c r="H96" s="500">
        <f t="shared" si="38"/>
        <v>0</v>
      </c>
      <c r="I96" s="501"/>
      <c r="J96" s="505">
        <f>IF(B96-H96=0,0,J94)</f>
        <v>0</v>
      </c>
      <c r="K96" s="501"/>
      <c r="L96" s="502"/>
      <c r="M96" s="501"/>
      <c r="N96" s="500">
        <v>0</v>
      </c>
      <c r="O96" s="6"/>
      <c r="P96" s="457">
        <f t="shared" si="28"/>
        <v>0</v>
      </c>
      <c r="Q96" s="1"/>
      <c r="R96" s="500">
        <f t="shared" si="29"/>
        <v>0</v>
      </c>
      <c r="S96" s="500"/>
      <c r="T96" s="500">
        <f>IF(B96&lt;=0,0,B96*IF('Simulador 7x5'!$Y$81=1,0,'Simulador 7x5'!$U$75))</f>
        <v>0</v>
      </c>
      <c r="U96" s="500"/>
      <c r="V96" s="513">
        <f>IF(B96&lt;=0,0,IF('Simulador 7x5'!$T$41=1,'Simulador 7x5'!$E$55,'Simulador 7x5'!$G$55))</f>
        <v>0</v>
      </c>
      <c r="W96" s="500"/>
      <c r="X96" s="500">
        <f t="shared" si="30"/>
        <v>0</v>
      </c>
      <c r="Y96" s="7"/>
      <c r="Z96" s="12"/>
      <c r="AA96" s="17"/>
      <c r="AB96" s="2">
        <f t="shared" si="31"/>
        <v>0</v>
      </c>
      <c r="AC96" s="21">
        <f t="shared" si="24"/>
        <v>0</v>
      </c>
      <c r="AD96" s="380">
        <f t="shared" si="39"/>
        <v>0</v>
      </c>
      <c r="AE96" s="380">
        <f t="shared" si="25"/>
        <v>0</v>
      </c>
      <c r="AF96" s="381">
        <f t="shared" si="32"/>
        <v>0</v>
      </c>
      <c r="AG96" s="380">
        <f t="shared" si="40"/>
        <v>0</v>
      </c>
      <c r="AH96" s="380">
        <f t="shared" si="41"/>
        <v>0</v>
      </c>
      <c r="AI96" s="380">
        <f>IF(AD96&lt;=0,0,AD96*IF('Simulador 7x5'!$Y$81=1,0,'Simulador 7x5'!$U$75))+IF(AD96&lt;=0,0,IF('Simulador 7x5'!$T$41=1,'Simulador 7x5'!$E$55,'Simulador 7x5'!$G$55))</f>
        <v>0</v>
      </c>
      <c r="AJ96" s="380">
        <f t="shared" si="26"/>
        <v>0</v>
      </c>
      <c r="AK96" s="109">
        <f t="shared" si="33"/>
        <v>0</v>
      </c>
      <c r="AM96" s="141">
        <v>6</v>
      </c>
      <c r="AN96" s="2">
        <v>8</v>
      </c>
      <c r="AO96" s="329">
        <f t="shared" si="34"/>
        <v>0</v>
      </c>
      <c r="AP96" s="329">
        <f t="shared" si="35"/>
        <v>0</v>
      </c>
      <c r="AQ96" s="20">
        <f t="shared" si="36"/>
        <v>0</v>
      </c>
      <c r="AR96" s="36"/>
      <c r="AS96">
        <f t="shared" si="42"/>
        <v>0</v>
      </c>
      <c r="AT96" s="384">
        <f t="shared" si="43"/>
      </c>
      <c r="AU96" s="385">
        <f t="shared" si="37"/>
        <v>0</v>
      </c>
      <c r="AV96" s="36">
        <v>80</v>
      </c>
    </row>
    <row r="97" spans="1:48" ht="12.75">
      <c r="A97" s="443">
        <v>81</v>
      </c>
      <c r="B97" s="498">
        <f t="shared" si="22"/>
        <v>0</v>
      </c>
      <c r="C97" s="499"/>
      <c r="D97" s="498">
        <f t="shared" si="23"/>
        <v>0</v>
      </c>
      <c r="E97" s="500"/>
      <c r="F97" s="500">
        <f t="shared" si="27"/>
        <v>0</v>
      </c>
      <c r="G97" s="500"/>
      <c r="H97" s="500">
        <f t="shared" si="38"/>
        <v>0</v>
      </c>
      <c r="I97" s="501"/>
      <c r="J97" s="506"/>
      <c r="K97" s="501"/>
      <c r="L97" s="502"/>
      <c r="M97" s="501"/>
      <c r="N97" s="500">
        <v>0</v>
      </c>
      <c r="O97" s="6"/>
      <c r="P97" s="457">
        <f t="shared" si="28"/>
        <v>0</v>
      </c>
      <c r="Q97" s="1"/>
      <c r="R97" s="500">
        <f t="shared" si="29"/>
        <v>0</v>
      </c>
      <c r="S97" s="500"/>
      <c r="T97" s="500">
        <f>IF(B97&lt;=0,0,B97*IF('Simulador 7x5'!$Y$81=1,0,'Simulador 7x5'!$U$75))</f>
        <v>0</v>
      </c>
      <c r="U97" s="500"/>
      <c r="V97" s="513">
        <f>IF(B97&lt;=0,0,IF('Simulador 7x5'!$T$41=1,'Simulador 7x5'!$E$55,'Simulador 7x5'!$G$55))</f>
        <v>0</v>
      </c>
      <c r="W97" s="500"/>
      <c r="X97" s="500">
        <f t="shared" si="30"/>
        <v>0</v>
      </c>
      <c r="Y97" s="7"/>
      <c r="Z97" s="12"/>
      <c r="AA97" s="17"/>
      <c r="AB97" s="2">
        <f t="shared" si="31"/>
        <v>0</v>
      </c>
      <c r="AC97" s="21">
        <f t="shared" si="24"/>
        <v>0</v>
      </c>
      <c r="AD97" s="380">
        <f t="shared" si="39"/>
        <v>0</v>
      </c>
      <c r="AE97" s="380">
        <f t="shared" si="25"/>
        <v>0</v>
      </c>
      <c r="AF97" s="381">
        <f t="shared" si="32"/>
        <v>0</v>
      </c>
      <c r="AG97" s="380">
        <f t="shared" si="40"/>
        <v>0</v>
      </c>
      <c r="AH97" s="380">
        <f t="shared" si="41"/>
        <v>0</v>
      </c>
      <c r="AI97" s="380">
        <f>IF(AD97&lt;=0,0,AD97*IF('Simulador 7x5'!$Y$81=1,0,'Simulador 7x5'!$U$75))+IF(AD97&lt;=0,0,IF('Simulador 7x5'!$T$41=1,'Simulador 7x5'!$E$55,'Simulador 7x5'!$G$55))</f>
        <v>0</v>
      </c>
      <c r="AJ97" s="380">
        <f t="shared" si="26"/>
        <v>0</v>
      </c>
      <c r="AK97" s="109">
        <f t="shared" si="33"/>
        <v>0</v>
      </c>
      <c r="AM97" s="141">
        <v>6</v>
      </c>
      <c r="AN97" s="140">
        <v>9</v>
      </c>
      <c r="AO97" s="329">
        <f t="shared" si="34"/>
        <v>0</v>
      </c>
      <c r="AP97" s="329">
        <f t="shared" si="35"/>
        <v>0</v>
      </c>
      <c r="AQ97" s="20">
        <f t="shared" si="36"/>
        <v>0</v>
      </c>
      <c r="AR97" s="36"/>
      <c r="AS97">
        <f t="shared" si="42"/>
        <v>0</v>
      </c>
      <c r="AT97" s="384">
        <f t="shared" si="43"/>
      </c>
      <c r="AU97" s="385">
        <f t="shared" si="37"/>
        <v>0</v>
      </c>
      <c r="AV97" s="36">
        <v>81</v>
      </c>
    </row>
    <row r="98" spans="1:48" ht="12.75">
      <c r="A98" s="443">
        <v>82</v>
      </c>
      <c r="B98" s="498">
        <f t="shared" si="22"/>
        <v>0</v>
      </c>
      <c r="C98" s="499"/>
      <c r="D98" s="498">
        <f t="shared" si="23"/>
        <v>0</v>
      </c>
      <c r="E98" s="500"/>
      <c r="F98" s="500">
        <f t="shared" si="27"/>
        <v>0</v>
      </c>
      <c r="G98" s="500"/>
      <c r="H98" s="500">
        <f t="shared" si="38"/>
        <v>0</v>
      </c>
      <c r="I98" s="501"/>
      <c r="J98" s="505">
        <f>IF(B98-H98=0,0,J96)</f>
        <v>0</v>
      </c>
      <c r="K98" s="501"/>
      <c r="L98" s="502"/>
      <c r="M98" s="501"/>
      <c r="N98" s="500">
        <v>0</v>
      </c>
      <c r="O98" s="6"/>
      <c r="P98" s="457">
        <f t="shared" si="28"/>
        <v>0</v>
      </c>
      <c r="Q98" s="1"/>
      <c r="R98" s="500">
        <f t="shared" si="29"/>
        <v>0</v>
      </c>
      <c r="S98" s="500"/>
      <c r="T98" s="500">
        <f>IF(B98&lt;=0,0,B98*IF('Simulador 7x5'!$Y$81=1,0,'Simulador 7x5'!$U$75))</f>
        <v>0</v>
      </c>
      <c r="U98" s="500"/>
      <c r="V98" s="513">
        <f>IF(B98&lt;=0,0,IF('Simulador 7x5'!$T$41=1,'Simulador 7x5'!$E$55,'Simulador 7x5'!$G$55))</f>
        <v>0</v>
      </c>
      <c r="W98" s="500"/>
      <c r="X98" s="500">
        <f t="shared" si="30"/>
        <v>0</v>
      </c>
      <c r="Y98" s="7"/>
      <c r="Z98" s="12"/>
      <c r="AA98" s="17"/>
      <c r="AB98" s="2">
        <f t="shared" si="31"/>
        <v>0</v>
      </c>
      <c r="AC98" s="21">
        <f t="shared" si="24"/>
        <v>0</v>
      </c>
      <c r="AD98" s="380">
        <f t="shared" si="39"/>
        <v>0</v>
      </c>
      <c r="AE98" s="380">
        <f t="shared" si="25"/>
        <v>0</v>
      </c>
      <c r="AF98" s="381">
        <f t="shared" si="32"/>
        <v>0</v>
      </c>
      <c r="AG98" s="380">
        <f t="shared" si="40"/>
        <v>0</v>
      </c>
      <c r="AH98" s="380">
        <f t="shared" si="41"/>
        <v>0</v>
      </c>
      <c r="AI98" s="380">
        <f>IF(AD98&lt;=0,0,AD98*IF('Simulador 7x5'!$Y$81=1,0,'Simulador 7x5'!$U$75))+IF(AD98&lt;=0,0,IF('Simulador 7x5'!$T$41=1,'Simulador 7x5'!$E$55,'Simulador 7x5'!$G$55))</f>
        <v>0</v>
      </c>
      <c r="AJ98" s="380">
        <f t="shared" si="26"/>
        <v>0</v>
      </c>
      <c r="AK98" s="109">
        <f t="shared" si="33"/>
        <v>0</v>
      </c>
      <c r="AM98" s="141">
        <v>6</v>
      </c>
      <c r="AN98" s="140">
        <v>10</v>
      </c>
      <c r="AO98" s="329">
        <f t="shared" si="34"/>
        <v>0</v>
      </c>
      <c r="AP98" s="329">
        <f t="shared" si="35"/>
        <v>0</v>
      </c>
      <c r="AQ98" s="20">
        <f t="shared" si="36"/>
        <v>0</v>
      </c>
      <c r="AR98" s="36"/>
      <c r="AS98">
        <f t="shared" si="42"/>
        <v>0</v>
      </c>
      <c r="AT98" s="384">
        <f t="shared" si="43"/>
      </c>
      <c r="AU98" s="385">
        <f t="shared" si="37"/>
        <v>0</v>
      </c>
      <c r="AV98" s="36">
        <v>82</v>
      </c>
    </row>
    <row r="99" spans="1:48" ht="12.75">
      <c r="A99" s="443">
        <v>83</v>
      </c>
      <c r="B99" s="498">
        <f t="shared" si="22"/>
        <v>0</v>
      </c>
      <c r="C99" s="499"/>
      <c r="D99" s="498">
        <f t="shared" si="23"/>
        <v>0</v>
      </c>
      <c r="E99" s="500"/>
      <c r="F99" s="500">
        <f t="shared" si="27"/>
        <v>0</v>
      </c>
      <c r="G99" s="500"/>
      <c r="H99" s="500">
        <f t="shared" si="38"/>
        <v>0</v>
      </c>
      <c r="I99" s="501"/>
      <c r="J99" s="506"/>
      <c r="K99" s="501"/>
      <c r="L99" s="502"/>
      <c r="M99" s="501"/>
      <c r="N99" s="500">
        <v>0</v>
      </c>
      <c r="O99" s="6"/>
      <c r="P99" s="457">
        <f t="shared" si="28"/>
        <v>0</v>
      </c>
      <c r="Q99" s="1"/>
      <c r="R99" s="500">
        <f t="shared" si="29"/>
        <v>0</v>
      </c>
      <c r="S99" s="500"/>
      <c r="T99" s="500">
        <f>IF(B99&lt;=0,0,B99*IF('Simulador 7x5'!$Y$81=1,0,'Simulador 7x5'!$U$75))</f>
        <v>0</v>
      </c>
      <c r="U99" s="500"/>
      <c r="V99" s="513">
        <f>IF(B99&lt;=0,0,IF('Simulador 7x5'!$T$41=1,'Simulador 7x5'!$E$55,'Simulador 7x5'!$G$55))</f>
        <v>0</v>
      </c>
      <c r="W99" s="500"/>
      <c r="X99" s="500">
        <f t="shared" si="30"/>
        <v>0</v>
      </c>
      <c r="Y99" s="7"/>
      <c r="Z99" s="12"/>
      <c r="AA99" s="17"/>
      <c r="AB99" s="2">
        <f t="shared" si="31"/>
        <v>0</v>
      </c>
      <c r="AC99" s="21">
        <f t="shared" si="24"/>
        <v>0</v>
      </c>
      <c r="AD99" s="380">
        <f t="shared" si="39"/>
        <v>0</v>
      </c>
      <c r="AE99" s="380">
        <f t="shared" si="25"/>
        <v>0</v>
      </c>
      <c r="AF99" s="381">
        <f t="shared" si="32"/>
        <v>0</v>
      </c>
      <c r="AG99" s="380">
        <f t="shared" si="40"/>
        <v>0</v>
      </c>
      <c r="AH99" s="380">
        <f t="shared" si="41"/>
        <v>0</v>
      </c>
      <c r="AI99" s="380">
        <f>IF(AD99&lt;=0,0,AD99*IF('Simulador 7x5'!$Y$81=1,0,'Simulador 7x5'!$U$75))+IF(AD99&lt;=0,0,IF('Simulador 7x5'!$T$41=1,'Simulador 7x5'!$E$55,'Simulador 7x5'!$G$55))</f>
        <v>0</v>
      </c>
      <c r="AJ99" s="380">
        <f t="shared" si="26"/>
        <v>0</v>
      </c>
      <c r="AK99" s="109">
        <f t="shared" si="33"/>
        <v>0</v>
      </c>
      <c r="AM99" s="141">
        <v>6</v>
      </c>
      <c r="AN99" s="2">
        <v>11</v>
      </c>
      <c r="AO99" s="329">
        <f t="shared" si="34"/>
        <v>0</v>
      </c>
      <c r="AP99" s="329">
        <f t="shared" si="35"/>
        <v>0</v>
      </c>
      <c r="AQ99" s="20">
        <f t="shared" si="36"/>
        <v>0</v>
      </c>
      <c r="AR99" s="36"/>
      <c r="AS99">
        <f t="shared" si="42"/>
        <v>0</v>
      </c>
      <c r="AT99" s="384">
        <f t="shared" si="43"/>
      </c>
      <c r="AU99" s="385">
        <f t="shared" si="37"/>
        <v>0</v>
      </c>
      <c r="AV99" s="36">
        <v>83</v>
      </c>
    </row>
    <row r="100" spans="1:48" ht="12.75">
      <c r="A100" s="443">
        <v>84</v>
      </c>
      <c r="B100" s="498">
        <f t="shared" si="22"/>
        <v>0</v>
      </c>
      <c r="C100" s="499"/>
      <c r="D100" s="498">
        <f t="shared" si="23"/>
        <v>0</v>
      </c>
      <c r="E100" s="500"/>
      <c r="F100" s="500">
        <f t="shared" si="27"/>
        <v>0</v>
      </c>
      <c r="G100" s="500"/>
      <c r="H100" s="500">
        <f t="shared" si="38"/>
        <v>0</v>
      </c>
      <c r="I100" s="501"/>
      <c r="J100" s="505">
        <f>IF(B100-H100=0,0,J98)</f>
        <v>0</v>
      </c>
      <c r="K100" s="501"/>
      <c r="L100" s="502"/>
      <c r="M100" s="501"/>
      <c r="N100" s="500">
        <v>0</v>
      </c>
      <c r="O100" s="6"/>
      <c r="P100" s="457">
        <f t="shared" si="28"/>
        <v>0</v>
      </c>
      <c r="Q100" s="1"/>
      <c r="R100" s="500">
        <f t="shared" si="29"/>
        <v>0</v>
      </c>
      <c r="S100" s="500"/>
      <c r="T100" s="500">
        <f>IF(B100&lt;=0,0,B100*IF('Simulador 7x5'!$Y$81=1,0,'Simulador 7x5'!$U$75))</f>
        <v>0</v>
      </c>
      <c r="U100" s="500"/>
      <c r="V100" s="513">
        <f>IF(B100&lt;=0,0,IF('Simulador 7x5'!$T$41=1,'Simulador 7x5'!$E$55,'Simulador 7x5'!$G$55))</f>
        <v>0</v>
      </c>
      <c r="W100" s="500"/>
      <c r="X100" s="500">
        <f t="shared" si="30"/>
        <v>0</v>
      </c>
      <c r="Y100" s="7"/>
      <c r="Z100" s="12"/>
      <c r="AA100" s="17"/>
      <c r="AB100" s="2">
        <f t="shared" si="31"/>
        <v>0</v>
      </c>
      <c r="AC100" s="21">
        <f t="shared" si="24"/>
        <v>0</v>
      </c>
      <c r="AD100" s="380">
        <f t="shared" si="39"/>
        <v>0</v>
      </c>
      <c r="AE100" s="380">
        <f t="shared" si="25"/>
        <v>0</v>
      </c>
      <c r="AF100" s="381">
        <f t="shared" si="32"/>
        <v>0</v>
      </c>
      <c r="AG100" s="380">
        <f t="shared" si="40"/>
        <v>0</v>
      </c>
      <c r="AH100" s="380">
        <f t="shared" si="41"/>
        <v>0</v>
      </c>
      <c r="AI100" s="380">
        <f>IF(AD100&lt;=0,0,AD100*IF('Simulador 7x5'!$Y$81=1,0,'Simulador 7x5'!$U$75))+IF(AD100&lt;=0,0,IF('Simulador 7x5'!$T$41=1,'Simulador 7x5'!$E$55,'Simulador 7x5'!$G$55))</f>
        <v>0</v>
      </c>
      <c r="AJ100" s="380">
        <f t="shared" si="26"/>
        <v>0</v>
      </c>
      <c r="AK100" s="109">
        <f t="shared" si="33"/>
        <v>0</v>
      </c>
      <c r="AM100" s="141">
        <v>7</v>
      </c>
      <c r="AN100" s="2">
        <v>0</v>
      </c>
      <c r="AO100" s="329">
        <f t="shared" si="34"/>
        <v>0</v>
      </c>
      <c r="AP100" s="329">
        <f t="shared" si="35"/>
        <v>0</v>
      </c>
      <c r="AQ100" s="20">
        <f t="shared" si="36"/>
        <v>0</v>
      </c>
      <c r="AR100" s="36"/>
      <c r="AS100">
        <f t="shared" si="42"/>
        <v>0</v>
      </c>
      <c r="AT100" s="384">
        <f t="shared" si="43"/>
      </c>
      <c r="AU100" s="385">
        <f t="shared" si="37"/>
        <v>0</v>
      </c>
      <c r="AV100" s="36">
        <v>84</v>
      </c>
    </row>
    <row r="101" spans="1:48" ht="12.75">
      <c r="A101" s="443">
        <v>85</v>
      </c>
      <c r="B101" s="498">
        <f t="shared" si="22"/>
        <v>0</v>
      </c>
      <c r="C101" s="499"/>
      <c r="D101" s="498">
        <f t="shared" si="23"/>
        <v>0</v>
      </c>
      <c r="E101" s="500"/>
      <c r="F101" s="500">
        <f t="shared" si="27"/>
        <v>0</v>
      </c>
      <c r="G101" s="500"/>
      <c r="H101" s="500">
        <f t="shared" si="38"/>
        <v>0</v>
      </c>
      <c r="I101" s="501"/>
      <c r="J101" s="506"/>
      <c r="K101" s="501"/>
      <c r="L101" s="502"/>
      <c r="M101" s="501"/>
      <c r="N101" s="500">
        <v>0</v>
      </c>
      <c r="O101" s="6"/>
      <c r="P101" s="457">
        <f t="shared" si="28"/>
        <v>0</v>
      </c>
      <c r="Q101" s="1"/>
      <c r="R101" s="500">
        <f t="shared" si="29"/>
        <v>0</v>
      </c>
      <c r="S101" s="500"/>
      <c r="T101" s="500">
        <f>IF(B101&lt;=0,0,B101*IF('Simulador 7x5'!$Y$81=1,0,'Simulador 7x5'!$U$75))</f>
        <v>0</v>
      </c>
      <c r="U101" s="500"/>
      <c r="V101" s="513">
        <f>IF(B101&lt;=0,0,IF('Simulador 7x5'!$T$41=1,'Simulador 7x5'!$E$55,'Simulador 7x5'!$G$55))</f>
        <v>0</v>
      </c>
      <c r="W101" s="500"/>
      <c r="X101" s="500">
        <f t="shared" si="30"/>
        <v>0</v>
      </c>
      <c r="Y101" s="7"/>
      <c r="Z101" s="12">
        <f>IF(B101&lt;=0,0,'Simulador 7x5'!$AE$54)</f>
        <v>0</v>
      </c>
      <c r="AA101" s="17"/>
      <c r="AB101" s="2">
        <f t="shared" si="31"/>
        <v>0</v>
      </c>
      <c r="AC101" s="21">
        <f t="shared" si="24"/>
        <v>0</v>
      </c>
      <c r="AD101" s="380">
        <f t="shared" si="39"/>
        <v>0</v>
      </c>
      <c r="AE101" s="380">
        <f t="shared" si="25"/>
        <v>0</v>
      </c>
      <c r="AF101" s="381">
        <f t="shared" si="32"/>
        <v>0</v>
      </c>
      <c r="AG101" s="380">
        <f t="shared" si="40"/>
        <v>0</v>
      </c>
      <c r="AH101" s="380">
        <f t="shared" si="41"/>
        <v>0</v>
      </c>
      <c r="AI101" s="380">
        <f>IF(AD101&lt;=0,0,AD101*IF('Simulador 7x5'!$Y$81=1,0,'Simulador 7x5'!$U$75))+IF(AD101&lt;=0,0,IF('Simulador 7x5'!$T$41=1,'Simulador 7x5'!$E$55,'Simulador 7x5'!$G$55))</f>
        <v>0</v>
      </c>
      <c r="AJ101" s="380">
        <f t="shared" si="26"/>
        <v>0</v>
      </c>
      <c r="AK101" s="109">
        <f t="shared" si="33"/>
        <v>0</v>
      </c>
      <c r="AM101" s="141">
        <v>7</v>
      </c>
      <c r="AN101" s="2">
        <v>1</v>
      </c>
      <c r="AO101" s="329">
        <f t="shared" si="34"/>
        <v>0</v>
      </c>
      <c r="AP101" s="329">
        <f t="shared" si="35"/>
        <v>0</v>
      </c>
      <c r="AQ101" s="20">
        <f t="shared" si="36"/>
        <v>0</v>
      </c>
      <c r="AR101" s="36"/>
      <c r="AS101">
        <f t="shared" si="42"/>
        <v>0</v>
      </c>
      <c r="AT101" s="384">
        <f t="shared" si="43"/>
      </c>
      <c r="AU101" s="385">
        <f t="shared" si="37"/>
        <v>0</v>
      </c>
      <c r="AV101" s="36">
        <v>85</v>
      </c>
    </row>
    <row r="102" spans="1:48" ht="12.75">
      <c r="A102" s="443">
        <v>86</v>
      </c>
      <c r="B102" s="498">
        <f t="shared" si="22"/>
        <v>0</v>
      </c>
      <c r="C102" s="499"/>
      <c r="D102" s="498">
        <f t="shared" si="23"/>
        <v>0</v>
      </c>
      <c r="E102" s="500"/>
      <c r="F102" s="500">
        <f t="shared" si="27"/>
        <v>0</v>
      </c>
      <c r="G102" s="500"/>
      <c r="H102" s="500">
        <f t="shared" si="38"/>
        <v>0</v>
      </c>
      <c r="I102" s="501"/>
      <c r="J102" s="505">
        <f>IF(B102-H102=0,0,J100*(1+(3%)))</f>
        <v>0</v>
      </c>
      <c r="K102" s="501"/>
      <c r="L102" s="502"/>
      <c r="M102" s="501"/>
      <c r="N102" s="500">
        <v>0</v>
      </c>
      <c r="O102" s="6"/>
      <c r="P102" s="457">
        <f t="shared" si="28"/>
        <v>0</v>
      </c>
      <c r="Q102" s="1"/>
      <c r="R102" s="500">
        <f t="shared" si="29"/>
        <v>0</v>
      </c>
      <c r="S102" s="500"/>
      <c r="T102" s="500">
        <f>IF(B102&lt;=0,0,B102*IF('Simulador 7x5'!$Y$81=1,0,'Simulador 7x5'!$U$75))</f>
        <v>0</v>
      </c>
      <c r="U102" s="500"/>
      <c r="V102" s="513">
        <f>IF(B102&lt;=0,0,IF('Simulador 7x5'!$T$41=1,'Simulador 7x5'!$E$55,'Simulador 7x5'!$G$55))</f>
        <v>0</v>
      </c>
      <c r="W102" s="500"/>
      <c r="X102" s="500">
        <f t="shared" si="30"/>
        <v>0</v>
      </c>
      <c r="Y102" s="7"/>
      <c r="Z102" s="12"/>
      <c r="AA102" s="17"/>
      <c r="AB102" s="2">
        <f t="shared" si="31"/>
        <v>0</v>
      </c>
      <c r="AC102" s="21">
        <f t="shared" si="24"/>
        <v>0</v>
      </c>
      <c r="AD102" s="380">
        <f t="shared" si="39"/>
        <v>0</v>
      </c>
      <c r="AE102" s="380">
        <f t="shared" si="25"/>
        <v>0</v>
      </c>
      <c r="AF102" s="381">
        <f t="shared" si="32"/>
        <v>0</v>
      </c>
      <c r="AG102" s="380">
        <f t="shared" si="40"/>
        <v>0</v>
      </c>
      <c r="AH102" s="380">
        <f t="shared" si="41"/>
        <v>0</v>
      </c>
      <c r="AI102" s="380">
        <f>IF(AD102&lt;=0,0,AD102*IF('Simulador 7x5'!$Y$81=1,0,'Simulador 7x5'!$U$75))+IF(AD102&lt;=0,0,IF('Simulador 7x5'!$T$41=1,'Simulador 7x5'!$E$55,'Simulador 7x5'!$G$55))</f>
        <v>0</v>
      </c>
      <c r="AJ102" s="380">
        <f t="shared" si="26"/>
        <v>0</v>
      </c>
      <c r="AK102" s="109">
        <f t="shared" si="33"/>
        <v>0</v>
      </c>
      <c r="AM102" s="141">
        <v>7</v>
      </c>
      <c r="AN102" s="139">
        <v>2</v>
      </c>
      <c r="AO102" s="329">
        <f t="shared" si="34"/>
        <v>0</v>
      </c>
      <c r="AP102" s="329">
        <f t="shared" si="35"/>
        <v>0</v>
      </c>
      <c r="AQ102" s="20">
        <f t="shared" si="36"/>
        <v>0</v>
      </c>
      <c r="AR102" s="36"/>
      <c r="AS102">
        <f t="shared" si="42"/>
        <v>0</v>
      </c>
      <c r="AT102" s="384">
        <f t="shared" si="43"/>
      </c>
      <c r="AU102" s="385">
        <f t="shared" si="37"/>
        <v>0</v>
      </c>
      <c r="AV102" s="36">
        <v>86</v>
      </c>
    </row>
    <row r="103" spans="1:48" ht="12.75">
      <c r="A103" s="443">
        <v>87</v>
      </c>
      <c r="B103" s="498">
        <f t="shared" si="22"/>
        <v>0</v>
      </c>
      <c r="C103" s="499"/>
      <c r="D103" s="498">
        <f t="shared" si="23"/>
        <v>0</v>
      </c>
      <c r="E103" s="500"/>
      <c r="F103" s="500">
        <f t="shared" si="27"/>
        <v>0</v>
      </c>
      <c r="G103" s="500"/>
      <c r="H103" s="500">
        <f t="shared" si="38"/>
        <v>0</v>
      </c>
      <c r="I103" s="501"/>
      <c r="J103" s="506"/>
      <c r="K103" s="501"/>
      <c r="L103" s="502"/>
      <c r="M103" s="501"/>
      <c r="N103" s="500">
        <v>0</v>
      </c>
      <c r="O103" s="6"/>
      <c r="P103" s="457">
        <f t="shared" si="28"/>
        <v>0</v>
      </c>
      <c r="Q103" s="1"/>
      <c r="R103" s="500">
        <f t="shared" si="29"/>
        <v>0</v>
      </c>
      <c r="S103" s="500"/>
      <c r="T103" s="500">
        <f>IF(B103&lt;=0,0,B103*IF('Simulador 7x5'!$Y$81=1,0,'Simulador 7x5'!$U$75))</f>
        <v>0</v>
      </c>
      <c r="U103" s="500"/>
      <c r="V103" s="513">
        <f>IF(B103&lt;=0,0,IF('Simulador 7x5'!$T$41=1,'Simulador 7x5'!$E$55,'Simulador 7x5'!$G$55))</f>
        <v>0</v>
      </c>
      <c r="W103" s="500"/>
      <c r="X103" s="500">
        <f t="shared" si="30"/>
        <v>0</v>
      </c>
      <c r="Y103" s="7"/>
      <c r="Z103" s="12"/>
      <c r="AA103" s="17"/>
      <c r="AB103" s="2">
        <f t="shared" si="31"/>
        <v>0</v>
      </c>
      <c r="AC103" s="21">
        <f t="shared" si="24"/>
        <v>0</v>
      </c>
      <c r="AD103" s="380">
        <f t="shared" si="39"/>
        <v>0</v>
      </c>
      <c r="AE103" s="380">
        <f t="shared" si="25"/>
        <v>0</v>
      </c>
      <c r="AF103" s="381">
        <f t="shared" si="32"/>
        <v>0</v>
      </c>
      <c r="AG103" s="380">
        <f t="shared" si="40"/>
        <v>0</v>
      </c>
      <c r="AH103" s="380">
        <f t="shared" si="41"/>
        <v>0</v>
      </c>
      <c r="AI103" s="380">
        <f>IF(AD103&lt;=0,0,AD103*IF('Simulador 7x5'!$Y$81=1,0,'Simulador 7x5'!$U$75))+IF(AD103&lt;=0,0,IF('Simulador 7x5'!$T$41=1,'Simulador 7x5'!$E$55,'Simulador 7x5'!$G$55))</f>
        <v>0</v>
      </c>
      <c r="AJ103" s="380">
        <f t="shared" si="26"/>
        <v>0</v>
      </c>
      <c r="AK103" s="109">
        <f t="shared" si="33"/>
        <v>0</v>
      </c>
      <c r="AM103" s="141">
        <v>7</v>
      </c>
      <c r="AN103" s="139">
        <v>3</v>
      </c>
      <c r="AO103" s="329">
        <f t="shared" si="34"/>
        <v>0</v>
      </c>
      <c r="AP103" s="329">
        <f t="shared" si="35"/>
        <v>0</v>
      </c>
      <c r="AQ103" s="20">
        <f t="shared" si="36"/>
        <v>0</v>
      </c>
      <c r="AR103" s="36"/>
      <c r="AS103">
        <f t="shared" si="42"/>
        <v>0</v>
      </c>
      <c r="AT103" s="384">
        <f t="shared" si="43"/>
      </c>
      <c r="AU103" s="385">
        <f t="shared" si="37"/>
        <v>0</v>
      </c>
      <c r="AV103" s="36">
        <v>87</v>
      </c>
    </row>
    <row r="104" spans="1:48" ht="12.75">
      <c r="A104" s="443">
        <v>88</v>
      </c>
      <c r="B104" s="498">
        <f t="shared" si="22"/>
        <v>0</v>
      </c>
      <c r="C104" s="499"/>
      <c r="D104" s="498">
        <f t="shared" si="23"/>
        <v>0</v>
      </c>
      <c r="E104" s="500"/>
      <c r="F104" s="500">
        <f t="shared" si="27"/>
        <v>0</v>
      </c>
      <c r="G104" s="500"/>
      <c r="H104" s="500">
        <f t="shared" si="38"/>
        <v>0</v>
      </c>
      <c r="I104" s="501"/>
      <c r="J104" s="505">
        <f>IF(B104-H104=0,0,J102)</f>
        <v>0</v>
      </c>
      <c r="K104" s="501"/>
      <c r="L104" s="502"/>
      <c r="M104" s="501"/>
      <c r="N104" s="500">
        <v>0</v>
      </c>
      <c r="O104" s="6"/>
      <c r="P104" s="457">
        <f t="shared" si="28"/>
        <v>0</v>
      </c>
      <c r="Q104" s="1"/>
      <c r="R104" s="500">
        <f t="shared" si="29"/>
        <v>0</v>
      </c>
      <c r="S104" s="500"/>
      <c r="T104" s="500">
        <f>IF(B104&lt;=0,0,B104*IF('Simulador 7x5'!$Y$81=1,0,'Simulador 7x5'!$U$75))</f>
        <v>0</v>
      </c>
      <c r="U104" s="500"/>
      <c r="V104" s="513">
        <f>IF(B104&lt;=0,0,IF('Simulador 7x5'!$T$41=1,'Simulador 7x5'!$E$55,'Simulador 7x5'!$G$55))</f>
        <v>0</v>
      </c>
      <c r="W104" s="500"/>
      <c r="X104" s="500">
        <f t="shared" si="30"/>
        <v>0</v>
      </c>
      <c r="Y104" s="7"/>
      <c r="Z104" s="12"/>
      <c r="AA104" s="17"/>
      <c r="AB104" s="2">
        <f t="shared" si="31"/>
        <v>0</v>
      </c>
      <c r="AC104" s="21">
        <f t="shared" si="24"/>
        <v>0</v>
      </c>
      <c r="AD104" s="380">
        <f t="shared" si="39"/>
        <v>0</v>
      </c>
      <c r="AE104" s="380">
        <f t="shared" si="25"/>
        <v>0</v>
      </c>
      <c r="AF104" s="381">
        <f t="shared" si="32"/>
        <v>0</v>
      </c>
      <c r="AG104" s="380">
        <f t="shared" si="40"/>
        <v>0</v>
      </c>
      <c r="AH104" s="380">
        <f t="shared" si="41"/>
        <v>0</v>
      </c>
      <c r="AI104" s="380">
        <f>IF(AD104&lt;=0,0,AD104*IF('Simulador 7x5'!$Y$81=1,0,'Simulador 7x5'!$U$75))+IF(AD104&lt;=0,0,IF('Simulador 7x5'!$T$41=1,'Simulador 7x5'!$E$55,'Simulador 7x5'!$G$55))</f>
        <v>0</v>
      </c>
      <c r="AJ104" s="380">
        <f t="shared" si="26"/>
        <v>0</v>
      </c>
      <c r="AK104" s="109">
        <f t="shared" si="33"/>
        <v>0</v>
      </c>
      <c r="AM104" s="141">
        <v>7</v>
      </c>
      <c r="AN104" s="2">
        <v>4</v>
      </c>
      <c r="AO104" s="329">
        <f t="shared" si="34"/>
        <v>0</v>
      </c>
      <c r="AP104" s="329">
        <f t="shared" si="35"/>
        <v>0</v>
      </c>
      <c r="AQ104" s="20">
        <f t="shared" si="36"/>
        <v>0</v>
      </c>
      <c r="AR104" s="36"/>
      <c r="AS104">
        <f t="shared" si="42"/>
        <v>0</v>
      </c>
      <c r="AT104" s="384">
        <f t="shared" si="43"/>
      </c>
      <c r="AU104" s="385">
        <f t="shared" si="37"/>
        <v>0</v>
      </c>
      <c r="AV104" s="36">
        <v>88</v>
      </c>
    </row>
    <row r="105" spans="1:48" ht="12.75">
      <c r="A105" s="443">
        <v>89</v>
      </c>
      <c r="B105" s="498">
        <f t="shared" si="22"/>
        <v>0</v>
      </c>
      <c r="C105" s="499"/>
      <c r="D105" s="498">
        <f t="shared" si="23"/>
        <v>0</v>
      </c>
      <c r="E105" s="500"/>
      <c r="F105" s="500">
        <f t="shared" si="27"/>
        <v>0</v>
      </c>
      <c r="G105" s="500"/>
      <c r="H105" s="500">
        <f t="shared" si="38"/>
        <v>0</v>
      </c>
      <c r="I105" s="501"/>
      <c r="J105" s="506"/>
      <c r="K105" s="501"/>
      <c r="L105" s="502"/>
      <c r="M105" s="501"/>
      <c r="N105" s="500">
        <v>0</v>
      </c>
      <c r="O105" s="6"/>
      <c r="P105" s="457">
        <f t="shared" si="28"/>
        <v>0</v>
      </c>
      <c r="Q105" s="1"/>
      <c r="R105" s="500">
        <f t="shared" si="29"/>
        <v>0</v>
      </c>
      <c r="S105" s="500"/>
      <c r="T105" s="500">
        <f>IF(B105&lt;=0,0,B105*IF('Simulador 7x5'!$Y$81=1,0,'Simulador 7x5'!$U$75))</f>
        <v>0</v>
      </c>
      <c r="U105" s="500"/>
      <c r="V105" s="513">
        <f>IF(B105&lt;=0,0,IF('Simulador 7x5'!$T$41=1,'Simulador 7x5'!$E$55,'Simulador 7x5'!$G$55))</f>
        <v>0</v>
      </c>
      <c r="W105" s="500"/>
      <c r="X105" s="500">
        <f t="shared" si="30"/>
        <v>0</v>
      </c>
      <c r="Y105" s="7"/>
      <c r="Z105" s="12"/>
      <c r="AA105" s="17"/>
      <c r="AB105" s="2">
        <f t="shared" si="31"/>
        <v>0</v>
      </c>
      <c r="AC105" s="21">
        <f t="shared" si="24"/>
        <v>0</v>
      </c>
      <c r="AD105" s="380">
        <f t="shared" si="39"/>
        <v>0</v>
      </c>
      <c r="AE105" s="380">
        <f t="shared" si="25"/>
        <v>0</v>
      </c>
      <c r="AF105" s="381">
        <f t="shared" si="32"/>
        <v>0</v>
      </c>
      <c r="AG105" s="380">
        <f t="shared" si="40"/>
        <v>0</v>
      </c>
      <c r="AH105" s="380">
        <f t="shared" si="41"/>
        <v>0</v>
      </c>
      <c r="AI105" s="380">
        <f>IF(AD105&lt;=0,0,AD105*IF('Simulador 7x5'!$Y$81=1,0,'Simulador 7x5'!$U$75))+IF(AD105&lt;=0,0,IF('Simulador 7x5'!$T$41=1,'Simulador 7x5'!$E$55,'Simulador 7x5'!$G$55))</f>
        <v>0</v>
      </c>
      <c r="AJ105" s="380">
        <f t="shared" si="26"/>
        <v>0</v>
      </c>
      <c r="AK105" s="109">
        <f t="shared" si="33"/>
        <v>0</v>
      </c>
      <c r="AM105" s="141">
        <v>7</v>
      </c>
      <c r="AN105" s="2">
        <v>5</v>
      </c>
      <c r="AO105" s="329">
        <f t="shared" si="34"/>
        <v>0</v>
      </c>
      <c r="AP105" s="329">
        <f t="shared" si="35"/>
        <v>0</v>
      </c>
      <c r="AQ105" s="20">
        <f t="shared" si="36"/>
        <v>0</v>
      </c>
      <c r="AR105" s="36"/>
      <c r="AS105">
        <f t="shared" si="42"/>
        <v>0</v>
      </c>
      <c r="AT105" s="384">
        <f t="shared" si="43"/>
      </c>
      <c r="AU105" s="385">
        <f t="shared" si="37"/>
        <v>0</v>
      </c>
      <c r="AV105" s="36">
        <v>89</v>
      </c>
    </row>
    <row r="106" spans="1:48" ht="12.75">
      <c r="A106" s="443">
        <v>90</v>
      </c>
      <c r="B106" s="498">
        <f t="shared" si="22"/>
        <v>0</v>
      </c>
      <c r="C106" s="499"/>
      <c r="D106" s="498">
        <f t="shared" si="23"/>
        <v>0</v>
      </c>
      <c r="E106" s="500"/>
      <c r="F106" s="500">
        <f t="shared" si="27"/>
        <v>0</v>
      </c>
      <c r="G106" s="500"/>
      <c r="H106" s="500">
        <f t="shared" si="38"/>
        <v>0</v>
      </c>
      <c r="I106" s="501"/>
      <c r="J106" s="505">
        <f>IF(B106-H106=0,0,J104)</f>
        <v>0</v>
      </c>
      <c r="K106" s="501"/>
      <c r="L106" s="502"/>
      <c r="M106" s="501"/>
      <c r="N106" s="500">
        <v>0</v>
      </c>
      <c r="O106" s="6"/>
      <c r="P106" s="457">
        <f t="shared" si="28"/>
        <v>0</v>
      </c>
      <c r="Q106" s="1"/>
      <c r="R106" s="500">
        <f t="shared" si="29"/>
        <v>0</v>
      </c>
      <c r="S106" s="500"/>
      <c r="T106" s="500">
        <f>IF(B106&lt;=0,0,B106*IF('Simulador 7x5'!$Y$81=1,0,'Simulador 7x5'!$U$75))</f>
        <v>0</v>
      </c>
      <c r="U106" s="500"/>
      <c r="V106" s="513">
        <f>IF(B106&lt;=0,0,IF('Simulador 7x5'!$T$41=1,'Simulador 7x5'!$E$55,'Simulador 7x5'!$G$55))</f>
        <v>0</v>
      </c>
      <c r="W106" s="500"/>
      <c r="X106" s="500">
        <f t="shared" si="30"/>
        <v>0</v>
      </c>
      <c r="Y106" s="7"/>
      <c r="Z106" s="12"/>
      <c r="AA106" s="17"/>
      <c r="AB106" s="2">
        <f t="shared" si="31"/>
        <v>0</v>
      </c>
      <c r="AC106" s="21">
        <f t="shared" si="24"/>
        <v>0</v>
      </c>
      <c r="AD106" s="380">
        <f t="shared" si="39"/>
        <v>0</v>
      </c>
      <c r="AE106" s="380">
        <f t="shared" si="25"/>
        <v>0</v>
      </c>
      <c r="AF106" s="381">
        <f t="shared" si="32"/>
        <v>0</v>
      </c>
      <c r="AG106" s="380">
        <f t="shared" si="40"/>
        <v>0</v>
      </c>
      <c r="AH106" s="380">
        <f t="shared" si="41"/>
        <v>0</v>
      </c>
      <c r="AI106" s="380">
        <f>IF(AD106&lt;=0,0,AD106*IF('Simulador 7x5'!$Y$81=1,0,'Simulador 7x5'!$U$75))+IF(AD106&lt;=0,0,IF('Simulador 7x5'!$T$41=1,'Simulador 7x5'!$E$55,'Simulador 7x5'!$G$55))</f>
        <v>0</v>
      </c>
      <c r="AJ106" s="380">
        <f t="shared" si="26"/>
        <v>0</v>
      </c>
      <c r="AK106" s="109">
        <f t="shared" si="33"/>
        <v>0</v>
      </c>
      <c r="AM106" s="141">
        <v>7</v>
      </c>
      <c r="AN106" s="2">
        <v>6</v>
      </c>
      <c r="AO106" s="329">
        <f t="shared" si="34"/>
        <v>0</v>
      </c>
      <c r="AP106" s="329">
        <f t="shared" si="35"/>
        <v>0</v>
      </c>
      <c r="AQ106" s="20">
        <f t="shared" si="36"/>
        <v>0</v>
      </c>
      <c r="AR106" s="36"/>
      <c r="AS106">
        <f t="shared" si="42"/>
        <v>0</v>
      </c>
      <c r="AT106" s="384">
        <f t="shared" si="43"/>
      </c>
      <c r="AU106" s="385">
        <f t="shared" si="37"/>
        <v>0</v>
      </c>
      <c r="AV106" s="36">
        <v>90</v>
      </c>
    </row>
    <row r="107" spans="1:48" ht="12.75">
      <c r="A107" s="443">
        <v>91</v>
      </c>
      <c r="B107" s="498">
        <f t="shared" si="22"/>
        <v>0</v>
      </c>
      <c r="C107" s="499"/>
      <c r="D107" s="498">
        <f t="shared" si="23"/>
        <v>0</v>
      </c>
      <c r="E107" s="500"/>
      <c r="F107" s="500">
        <f t="shared" si="27"/>
        <v>0</v>
      </c>
      <c r="G107" s="500"/>
      <c r="H107" s="500">
        <f t="shared" si="38"/>
        <v>0</v>
      </c>
      <c r="I107" s="501"/>
      <c r="J107" s="506"/>
      <c r="K107" s="501"/>
      <c r="L107" s="502"/>
      <c r="M107" s="501"/>
      <c r="N107" s="500">
        <v>0</v>
      </c>
      <c r="O107" s="6"/>
      <c r="P107" s="457">
        <f t="shared" si="28"/>
        <v>0</v>
      </c>
      <c r="Q107" s="1"/>
      <c r="R107" s="500">
        <f t="shared" si="29"/>
        <v>0</v>
      </c>
      <c r="S107" s="500"/>
      <c r="T107" s="500">
        <f>IF(B107&lt;=0,0,B107*IF('Simulador 7x5'!$Y$81=1,0,'Simulador 7x5'!$U$75))</f>
        <v>0</v>
      </c>
      <c r="U107" s="500"/>
      <c r="V107" s="513">
        <f>IF(B107&lt;=0,0,IF('Simulador 7x5'!$T$41=1,'Simulador 7x5'!$E$55,'Simulador 7x5'!$G$55))</f>
        <v>0</v>
      </c>
      <c r="W107" s="500"/>
      <c r="X107" s="500">
        <f t="shared" si="30"/>
        <v>0</v>
      </c>
      <c r="Y107" s="7"/>
      <c r="Z107" s="12"/>
      <c r="AA107" s="17"/>
      <c r="AB107" s="2">
        <f t="shared" si="31"/>
        <v>0</v>
      </c>
      <c r="AC107" s="21">
        <f t="shared" si="24"/>
        <v>0</v>
      </c>
      <c r="AD107" s="380">
        <f t="shared" si="39"/>
        <v>0</v>
      </c>
      <c r="AE107" s="380">
        <f t="shared" si="25"/>
        <v>0</v>
      </c>
      <c r="AF107" s="381">
        <f t="shared" si="32"/>
        <v>0</v>
      </c>
      <c r="AG107" s="380">
        <f t="shared" si="40"/>
        <v>0</v>
      </c>
      <c r="AH107" s="380">
        <f t="shared" si="41"/>
        <v>0</v>
      </c>
      <c r="AI107" s="380">
        <f>IF(AD107&lt;=0,0,AD107*IF('Simulador 7x5'!$Y$81=1,0,'Simulador 7x5'!$U$75))+IF(AD107&lt;=0,0,IF('Simulador 7x5'!$T$41=1,'Simulador 7x5'!$E$55,'Simulador 7x5'!$G$55))</f>
        <v>0</v>
      </c>
      <c r="AJ107" s="380">
        <f t="shared" si="26"/>
        <v>0</v>
      </c>
      <c r="AK107" s="109">
        <f t="shared" si="33"/>
        <v>0</v>
      </c>
      <c r="AM107" s="141">
        <v>7</v>
      </c>
      <c r="AN107" s="2">
        <v>7</v>
      </c>
      <c r="AO107" s="329">
        <f t="shared" si="34"/>
        <v>0</v>
      </c>
      <c r="AP107" s="329">
        <f t="shared" si="35"/>
        <v>0</v>
      </c>
      <c r="AQ107" s="20">
        <f t="shared" si="36"/>
        <v>0</v>
      </c>
      <c r="AR107" s="36"/>
      <c r="AS107">
        <f t="shared" si="42"/>
        <v>0</v>
      </c>
      <c r="AT107" s="384">
        <f t="shared" si="43"/>
      </c>
      <c r="AU107" s="385">
        <f t="shared" si="37"/>
        <v>0</v>
      </c>
      <c r="AV107" s="36">
        <v>91</v>
      </c>
    </row>
    <row r="108" spans="1:48" ht="12.75">
      <c r="A108" s="443">
        <v>92</v>
      </c>
      <c r="B108" s="498">
        <f t="shared" si="22"/>
        <v>0</v>
      </c>
      <c r="C108" s="499"/>
      <c r="D108" s="498">
        <f t="shared" si="23"/>
        <v>0</v>
      </c>
      <c r="E108" s="500"/>
      <c r="F108" s="500">
        <f t="shared" si="27"/>
        <v>0</v>
      </c>
      <c r="G108" s="500"/>
      <c r="H108" s="500">
        <f t="shared" si="38"/>
        <v>0</v>
      </c>
      <c r="I108" s="501"/>
      <c r="J108" s="505">
        <f>IF(B108-H108=0,0,J106)</f>
        <v>0</v>
      </c>
      <c r="K108" s="501"/>
      <c r="L108" s="502"/>
      <c r="M108" s="501"/>
      <c r="N108" s="500">
        <v>0</v>
      </c>
      <c r="O108" s="6"/>
      <c r="P108" s="457">
        <f t="shared" si="28"/>
        <v>0</v>
      </c>
      <c r="Q108" s="1"/>
      <c r="R108" s="500">
        <f t="shared" si="29"/>
        <v>0</v>
      </c>
      <c r="S108" s="500"/>
      <c r="T108" s="500">
        <f>IF(B108&lt;=0,0,B108*IF('Simulador 7x5'!$Y$81=1,0,'Simulador 7x5'!$U$75))</f>
        <v>0</v>
      </c>
      <c r="U108" s="500"/>
      <c r="V108" s="513">
        <f>IF(B108&lt;=0,0,IF('Simulador 7x5'!$T$41=1,'Simulador 7x5'!$E$55,'Simulador 7x5'!$G$55))</f>
        <v>0</v>
      </c>
      <c r="W108" s="500"/>
      <c r="X108" s="500">
        <f t="shared" si="30"/>
        <v>0</v>
      </c>
      <c r="Y108" s="7"/>
      <c r="Z108" s="12"/>
      <c r="AA108" s="17"/>
      <c r="AB108" s="2">
        <f t="shared" si="31"/>
        <v>0</v>
      </c>
      <c r="AC108" s="21">
        <f t="shared" si="24"/>
        <v>0</v>
      </c>
      <c r="AD108" s="380">
        <f t="shared" si="39"/>
        <v>0</v>
      </c>
      <c r="AE108" s="380">
        <f t="shared" si="25"/>
        <v>0</v>
      </c>
      <c r="AF108" s="381">
        <f t="shared" si="32"/>
        <v>0</v>
      </c>
      <c r="AG108" s="380">
        <f t="shared" si="40"/>
        <v>0</v>
      </c>
      <c r="AH108" s="380">
        <f t="shared" si="41"/>
        <v>0</v>
      </c>
      <c r="AI108" s="380">
        <f>IF(AD108&lt;=0,0,AD108*IF('Simulador 7x5'!$Y$81=1,0,'Simulador 7x5'!$U$75))+IF(AD108&lt;=0,0,IF('Simulador 7x5'!$T$41=1,'Simulador 7x5'!$E$55,'Simulador 7x5'!$G$55))</f>
        <v>0</v>
      </c>
      <c r="AJ108" s="380">
        <f t="shared" si="26"/>
        <v>0</v>
      </c>
      <c r="AK108" s="109">
        <f t="shared" si="33"/>
        <v>0</v>
      </c>
      <c r="AM108" s="141">
        <v>7</v>
      </c>
      <c r="AN108" s="2">
        <v>8</v>
      </c>
      <c r="AO108" s="329">
        <f t="shared" si="34"/>
        <v>0</v>
      </c>
      <c r="AP108" s="329">
        <f t="shared" si="35"/>
        <v>0</v>
      </c>
      <c r="AQ108" s="20">
        <f t="shared" si="36"/>
        <v>0</v>
      </c>
      <c r="AR108" s="36"/>
      <c r="AS108">
        <f t="shared" si="42"/>
        <v>0</v>
      </c>
      <c r="AT108" s="384">
        <f t="shared" si="43"/>
      </c>
      <c r="AU108" s="385">
        <f t="shared" si="37"/>
        <v>0</v>
      </c>
      <c r="AV108" s="36">
        <v>92</v>
      </c>
    </row>
    <row r="109" spans="1:48" ht="12.75">
      <c r="A109" s="443">
        <v>93</v>
      </c>
      <c r="B109" s="498">
        <f t="shared" si="22"/>
        <v>0</v>
      </c>
      <c r="C109" s="499"/>
      <c r="D109" s="498">
        <f t="shared" si="23"/>
        <v>0</v>
      </c>
      <c r="E109" s="500"/>
      <c r="F109" s="500">
        <f t="shared" si="27"/>
        <v>0</v>
      </c>
      <c r="G109" s="500"/>
      <c r="H109" s="500">
        <f t="shared" si="38"/>
        <v>0</v>
      </c>
      <c r="I109" s="501"/>
      <c r="J109" s="506"/>
      <c r="K109" s="501"/>
      <c r="L109" s="502"/>
      <c r="M109" s="501"/>
      <c r="N109" s="500">
        <v>0</v>
      </c>
      <c r="O109" s="6"/>
      <c r="P109" s="457">
        <f t="shared" si="28"/>
        <v>0</v>
      </c>
      <c r="Q109" s="1"/>
      <c r="R109" s="500">
        <f t="shared" si="29"/>
        <v>0</v>
      </c>
      <c r="S109" s="500"/>
      <c r="T109" s="500">
        <f>IF(B109&lt;=0,0,B109*IF('Simulador 7x5'!$Y$81=1,0,'Simulador 7x5'!$U$75))</f>
        <v>0</v>
      </c>
      <c r="U109" s="500"/>
      <c r="V109" s="513">
        <f>IF(B109&lt;=0,0,IF('Simulador 7x5'!$T$41=1,'Simulador 7x5'!$E$55,'Simulador 7x5'!$G$55))</f>
        <v>0</v>
      </c>
      <c r="W109" s="500"/>
      <c r="X109" s="500">
        <f t="shared" si="30"/>
        <v>0</v>
      </c>
      <c r="Y109" s="7"/>
      <c r="Z109" s="12"/>
      <c r="AA109" s="17"/>
      <c r="AB109" s="2">
        <f t="shared" si="31"/>
        <v>0</v>
      </c>
      <c r="AC109" s="21">
        <f t="shared" si="24"/>
        <v>0</v>
      </c>
      <c r="AD109" s="380">
        <f t="shared" si="39"/>
        <v>0</v>
      </c>
      <c r="AE109" s="380">
        <f t="shared" si="25"/>
        <v>0</v>
      </c>
      <c r="AF109" s="381">
        <f t="shared" si="32"/>
        <v>0</v>
      </c>
      <c r="AG109" s="380">
        <f t="shared" si="40"/>
        <v>0</v>
      </c>
      <c r="AH109" s="380">
        <f t="shared" si="41"/>
        <v>0</v>
      </c>
      <c r="AI109" s="380">
        <f>IF(AD109&lt;=0,0,AD109*IF('Simulador 7x5'!$Y$81=1,0,'Simulador 7x5'!$U$75))+IF(AD109&lt;=0,0,IF('Simulador 7x5'!$T$41=1,'Simulador 7x5'!$E$55,'Simulador 7x5'!$G$55))</f>
        <v>0</v>
      </c>
      <c r="AJ109" s="380">
        <f t="shared" si="26"/>
        <v>0</v>
      </c>
      <c r="AK109" s="109">
        <f t="shared" si="33"/>
        <v>0</v>
      </c>
      <c r="AM109" s="141">
        <v>7</v>
      </c>
      <c r="AN109" s="140">
        <v>9</v>
      </c>
      <c r="AO109" s="329">
        <f t="shared" si="34"/>
        <v>0</v>
      </c>
      <c r="AP109" s="329">
        <f t="shared" si="35"/>
        <v>0</v>
      </c>
      <c r="AQ109" s="20">
        <f t="shared" si="36"/>
        <v>0</v>
      </c>
      <c r="AR109" s="36"/>
      <c r="AS109">
        <f t="shared" si="42"/>
        <v>0</v>
      </c>
      <c r="AT109" s="384">
        <f t="shared" si="43"/>
      </c>
      <c r="AU109" s="385">
        <f t="shared" si="37"/>
        <v>0</v>
      </c>
      <c r="AV109" s="36">
        <v>93</v>
      </c>
    </row>
    <row r="110" spans="1:48" ht="12.75">
      <c r="A110" s="443">
        <v>94</v>
      </c>
      <c r="B110" s="498">
        <f t="shared" si="22"/>
        <v>0</v>
      </c>
      <c r="C110" s="499"/>
      <c r="D110" s="498">
        <f t="shared" si="23"/>
        <v>0</v>
      </c>
      <c r="E110" s="500"/>
      <c r="F110" s="500">
        <f t="shared" si="27"/>
        <v>0</v>
      </c>
      <c r="G110" s="500"/>
      <c r="H110" s="500">
        <f t="shared" si="38"/>
        <v>0</v>
      </c>
      <c r="I110" s="501"/>
      <c r="J110" s="505">
        <f>IF(B110-H110=0,0,J108)</f>
        <v>0</v>
      </c>
      <c r="K110" s="501"/>
      <c r="L110" s="502"/>
      <c r="M110" s="501"/>
      <c r="N110" s="500">
        <v>0</v>
      </c>
      <c r="O110" s="6"/>
      <c r="P110" s="457">
        <f t="shared" si="28"/>
        <v>0</v>
      </c>
      <c r="Q110" s="1"/>
      <c r="R110" s="500">
        <f t="shared" si="29"/>
        <v>0</v>
      </c>
      <c r="S110" s="500"/>
      <c r="T110" s="500">
        <f>IF(B110&lt;=0,0,B110*IF('Simulador 7x5'!$Y$81=1,0,'Simulador 7x5'!$U$75))</f>
        <v>0</v>
      </c>
      <c r="U110" s="500"/>
      <c r="V110" s="513">
        <f>IF(B110&lt;=0,0,IF('Simulador 7x5'!$T$41=1,'Simulador 7x5'!$E$55,'Simulador 7x5'!$G$55))</f>
        <v>0</v>
      </c>
      <c r="W110" s="500"/>
      <c r="X110" s="500">
        <f t="shared" si="30"/>
        <v>0</v>
      </c>
      <c r="Y110" s="7"/>
      <c r="Z110" s="12"/>
      <c r="AA110" s="17"/>
      <c r="AB110" s="2">
        <f t="shared" si="31"/>
        <v>0</v>
      </c>
      <c r="AC110" s="21">
        <f aca="true" t="shared" si="44" ref="AC110:AC136">IF(AD110&lt;=0.01,0,AC109)</f>
        <v>0</v>
      </c>
      <c r="AD110" s="380">
        <f t="shared" si="39"/>
        <v>0</v>
      </c>
      <c r="AE110" s="380">
        <f t="shared" si="25"/>
        <v>0</v>
      </c>
      <c r="AF110" s="381">
        <f t="shared" si="32"/>
        <v>0</v>
      </c>
      <c r="AG110" s="380">
        <f t="shared" si="40"/>
        <v>0</v>
      </c>
      <c r="AH110" s="380">
        <f t="shared" si="41"/>
        <v>0</v>
      </c>
      <c r="AI110" s="380">
        <f>IF(AD110&lt;=0,0,AD110*IF('Simulador 7x5'!$Y$81=1,0,'Simulador 7x5'!$U$75))+IF(AD110&lt;=0,0,IF('Simulador 7x5'!$T$41=1,'Simulador 7x5'!$E$55,'Simulador 7x5'!$G$55))</f>
        <v>0</v>
      </c>
      <c r="AJ110" s="380">
        <f t="shared" si="26"/>
        <v>0</v>
      </c>
      <c r="AK110" s="109">
        <f t="shared" si="33"/>
        <v>0</v>
      </c>
      <c r="AM110" s="141">
        <v>7</v>
      </c>
      <c r="AN110" s="140">
        <v>10</v>
      </c>
      <c r="AO110" s="329">
        <f t="shared" si="34"/>
        <v>0</v>
      </c>
      <c r="AP110" s="329">
        <f t="shared" si="35"/>
        <v>0</v>
      </c>
      <c r="AQ110" s="20">
        <f t="shared" si="36"/>
        <v>0</v>
      </c>
      <c r="AR110" s="36"/>
      <c r="AS110">
        <f t="shared" si="42"/>
        <v>0</v>
      </c>
      <c r="AT110" s="384">
        <f t="shared" si="43"/>
      </c>
      <c r="AU110" s="385">
        <f t="shared" si="37"/>
        <v>0</v>
      </c>
      <c r="AV110" s="36">
        <v>94</v>
      </c>
    </row>
    <row r="111" spans="1:48" ht="12.75">
      <c r="A111" s="443">
        <v>95</v>
      </c>
      <c r="B111" s="498">
        <f t="shared" si="22"/>
        <v>0</v>
      </c>
      <c r="C111" s="499"/>
      <c r="D111" s="498">
        <f t="shared" si="23"/>
        <v>0</v>
      </c>
      <c r="E111" s="500"/>
      <c r="F111" s="500">
        <f t="shared" si="27"/>
        <v>0</v>
      </c>
      <c r="G111" s="500"/>
      <c r="H111" s="500">
        <f t="shared" si="38"/>
        <v>0</v>
      </c>
      <c r="I111" s="501"/>
      <c r="J111" s="506"/>
      <c r="K111" s="501"/>
      <c r="L111" s="502"/>
      <c r="M111" s="501"/>
      <c r="N111" s="500">
        <v>0</v>
      </c>
      <c r="O111" s="6"/>
      <c r="P111" s="457">
        <f t="shared" si="28"/>
        <v>0</v>
      </c>
      <c r="Q111" s="1"/>
      <c r="R111" s="500">
        <f t="shared" si="29"/>
        <v>0</v>
      </c>
      <c r="S111" s="500"/>
      <c r="T111" s="500">
        <f>IF(B111&lt;=0,0,B111*IF('Simulador 7x5'!$Y$81=1,0,'Simulador 7x5'!$U$75))</f>
        <v>0</v>
      </c>
      <c r="U111" s="500"/>
      <c r="V111" s="513">
        <f>IF(B111&lt;=0,0,IF('Simulador 7x5'!$T$41=1,'Simulador 7x5'!$E$55,'Simulador 7x5'!$G$55))</f>
        <v>0</v>
      </c>
      <c r="W111" s="500"/>
      <c r="X111" s="500">
        <f t="shared" si="30"/>
        <v>0</v>
      </c>
      <c r="Y111" s="7"/>
      <c r="Z111" s="12"/>
      <c r="AA111" s="17"/>
      <c r="AB111" s="2">
        <f t="shared" si="31"/>
        <v>0</v>
      </c>
      <c r="AC111" s="21">
        <f t="shared" si="44"/>
        <v>0</v>
      </c>
      <c r="AD111" s="380">
        <f t="shared" si="39"/>
        <v>0</v>
      </c>
      <c r="AE111" s="380">
        <f t="shared" si="25"/>
        <v>0</v>
      </c>
      <c r="AF111" s="381">
        <f t="shared" si="32"/>
        <v>0</v>
      </c>
      <c r="AG111" s="380">
        <f t="shared" si="40"/>
        <v>0</v>
      </c>
      <c r="AH111" s="380">
        <f t="shared" si="41"/>
        <v>0</v>
      </c>
      <c r="AI111" s="380">
        <f>IF(AD111&lt;=0,0,AD111*IF('Simulador 7x5'!$Y$81=1,0,'Simulador 7x5'!$U$75))+IF(AD111&lt;=0,0,IF('Simulador 7x5'!$T$41=1,'Simulador 7x5'!$E$55,'Simulador 7x5'!$G$55))</f>
        <v>0</v>
      </c>
      <c r="AJ111" s="380">
        <f t="shared" si="26"/>
        <v>0</v>
      </c>
      <c r="AK111" s="109">
        <f t="shared" si="33"/>
        <v>0</v>
      </c>
      <c r="AM111" s="141">
        <v>7</v>
      </c>
      <c r="AN111" s="2">
        <v>11</v>
      </c>
      <c r="AO111" s="329">
        <f t="shared" si="34"/>
        <v>0</v>
      </c>
      <c r="AP111" s="329">
        <f t="shared" si="35"/>
        <v>0</v>
      </c>
      <c r="AQ111" s="20">
        <f t="shared" si="36"/>
        <v>0</v>
      </c>
      <c r="AR111" s="36"/>
      <c r="AS111">
        <f t="shared" si="42"/>
        <v>0</v>
      </c>
      <c r="AT111" s="384">
        <f t="shared" si="43"/>
      </c>
      <c r="AU111" s="385">
        <f t="shared" si="37"/>
        <v>0</v>
      </c>
      <c r="AV111" s="36">
        <v>95</v>
      </c>
    </row>
    <row r="112" spans="1:48" ht="12.75">
      <c r="A112" s="443">
        <v>96</v>
      </c>
      <c r="B112" s="498">
        <f t="shared" si="22"/>
        <v>0</v>
      </c>
      <c r="C112" s="499"/>
      <c r="D112" s="498">
        <f t="shared" si="23"/>
        <v>0</v>
      </c>
      <c r="E112" s="500"/>
      <c r="F112" s="500">
        <f t="shared" si="27"/>
        <v>0</v>
      </c>
      <c r="G112" s="500"/>
      <c r="H112" s="500">
        <f t="shared" si="38"/>
        <v>0</v>
      </c>
      <c r="I112" s="501"/>
      <c r="J112" s="505">
        <f>IF(B112-H112=0,0,J110)</f>
        <v>0</v>
      </c>
      <c r="K112" s="501"/>
      <c r="L112" s="502"/>
      <c r="M112" s="501"/>
      <c r="N112" s="500">
        <v>0</v>
      </c>
      <c r="O112" s="6"/>
      <c r="P112" s="457">
        <f t="shared" si="28"/>
        <v>0</v>
      </c>
      <c r="Q112" s="1"/>
      <c r="R112" s="500">
        <f t="shared" si="29"/>
        <v>0</v>
      </c>
      <c r="S112" s="500"/>
      <c r="T112" s="500">
        <f>IF(B112&lt;=0,0,B112*IF('Simulador 7x5'!$Y$81=1,0,'Simulador 7x5'!$U$75))</f>
        <v>0</v>
      </c>
      <c r="U112" s="500"/>
      <c r="V112" s="513">
        <f>IF(B112&lt;=0,0,IF('Simulador 7x5'!$T$41=1,'Simulador 7x5'!$E$55,'Simulador 7x5'!$G$55))</f>
        <v>0</v>
      </c>
      <c r="W112" s="500"/>
      <c r="X112" s="500">
        <f t="shared" si="30"/>
        <v>0</v>
      </c>
      <c r="Y112" s="7"/>
      <c r="Z112" s="12"/>
      <c r="AA112" s="17"/>
      <c r="AB112" s="2">
        <f t="shared" si="31"/>
        <v>0</v>
      </c>
      <c r="AC112" s="21">
        <f t="shared" si="44"/>
        <v>0</v>
      </c>
      <c r="AD112" s="380">
        <f t="shared" si="39"/>
        <v>0</v>
      </c>
      <c r="AE112" s="380">
        <f t="shared" si="25"/>
        <v>0</v>
      </c>
      <c r="AF112" s="381">
        <f t="shared" si="32"/>
        <v>0</v>
      </c>
      <c r="AG112" s="380">
        <f t="shared" si="40"/>
        <v>0</v>
      </c>
      <c r="AH112" s="380">
        <f t="shared" si="41"/>
        <v>0</v>
      </c>
      <c r="AI112" s="380">
        <f>IF(AD112&lt;=0,0,AD112*IF('Simulador 7x5'!$Y$81=1,0,'Simulador 7x5'!$U$75))+IF(AD112&lt;=0,0,IF('Simulador 7x5'!$T$41=1,'Simulador 7x5'!$E$55,'Simulador 7x5'!$G$55))</f>
        <v>0</v>
      </c>
      <c r="AJ112" s="380">
        <f t="shared" si="26"/>
        <v>0</v>
      </c>
      <c r="AK112" s="109">
        <f t="shared" si="33"/>
        <v>0</v>
      </c>
      <c r="AM112" s="141">
        <v>8</v>
      </c>
      <c r="AN112" s="2">
        <v>0</v>
      </c>
      <c r="AO112" s="329">
        <f t="shared" si="34"/>
        <v>0</v>
      </c>
      <c r="AP112" s="329">
        <f t="shared" si="35"/>
        <v>0</v>
      </c>
      <c r="AQ112" s="20">
        <f t="shared" si="36"/>
        <v>0</v>
      </c>
      <c r="AR112" s="36"/>
      <c r="AS112">
        <f t="shared" si="42"/>
        <v>0</v>
      </c>
      <c r="AT112" s="384">
        <f t="shared" si="43"/>
      </c>
      <c r="AU112" s="385">
        <f t="shared" si="37"/>
        <v>0</v>
      </c>
      <c r="AV112" s="36">
        <v>96</v>
      </c>
    </row>
    <row r="113" spans="1:48" ht="12.75">
      <c r="A113" s="443">
        <v>97</v>
      </c>
      <c r="B113" s="498">
        <f t="shared" si="22"/>
        <v>0</v>
      </c>
      <c r="C113" s="499"/>
      <c r="D113" s="498">
        <f t="shared" si="23"/>
        <v>0</v>
      </c>
      <c r="E113" s="500"/>
      <c r="F113" s="500">
        <f t="shared" si="27"/>
        <v>0</v>
      </c>
      <c r="G113" s="500"/>
      <c r="H113" s="500">
        <f t="shared" si="38"/>
        <v>0</v>
      </c>
      <c r="I113" s="501"/>
      <c r="J113" s="506"/>
      <c r="K113" s="501"/>
      <c r="L113" s="502"/>
      <c r="M113" s="501"/>
      <c r="N113" s="500">
        <v>0</v>
      </c>
      <c r="O113" s="6"/>
      <c r="P113" s="457">
        <f t="shared" si="28"/>
        <v>0</v>
      </c>
      <c r="Q113" s="1"/>
      <c r="R113" s="500">
        <f t="shared" si="29"/>
        <v>0</v>
      </c>
      <c r="S113" s="500"/>
      <c r="T113" s="500">
        <f>IF(B113&lt;=0,0,B113*IF('Simulador 7x5'!$Y$81=1,0,'Simulador 7x5'!$U$75))</f>
        <v>0</v>
      </c>
      <c r="U113" s="500"/>
      <c r="V113" s="513">
        <f>IF(B113&lt;=0,0,IF('Simulador 7x5'!$T$41=1,'Simulador 7x5'!$E$55,'Simulador 7x5'!$G$55))</f>
        <v>0</v>
      </c>
      <c r="W113" s="500"/>
      <c r="X113" s="500">
        <f t="shared" si="30"/>
        <v>0</v>
      </c>
      <c r="Y113" s="7"/>
      <c r="Z113" s="12">
        <f>IF(B113&lt;=0,0,'Simulador 7x5'!$AE$54)</f>
        <v>0</v>
      </c>
      <c r="AA113" s="17"/>
      <c r="AB113" s="2">
        <f t="shared" si="31"/>
        <v>0</v>
      </c>
      <c r="AC113" s="21">
        <f t="shared" si="44"/>
        <v>0</v>
      </c>
      <c r="AD113" s="380">
        <f t="shared" si="39"/>
        <v>0</v>
      </c>
      <c r="AE113" s="380">
        <f t="shared" si="25"/>
        <v>0</v>
      </c>
      <c r="AF113" s="381">
        <f t="shared" si="32"/>
        <v>0</v>
      </c>
      <c r="AG113" s="380">
        <f t="shared" si="40"/>
        <v>0</v>
      </c>
      <c r="AH113" s="380">
        <f t="shared" si="41"/>
        <v>0</v>
      </c>
      <c r="AI113" s="380">
        <f>IF(AD113&lt;=0,0,AD113*IF('Simulador 7x5'!$Y$81=1,0,'Simulador 7x5'!$U$75))+IF(AD113&lt;=0,0,IF('Simulador 7x5'!$T$41=1,'Simulador 7x5'!$E$55,'Simulador 7x5'!$G$55))</f>
        <v>0</v>
      </c>
      <c r="AJ113" s="380">
        <f t="shared" si="26"/>
        <v>0</v>
      </c>
      <c r="AK113" s="109">
        <f t="shared" si="33"/>
        <v>0</v>
      </c>
      <c r="AM113" s="141">
        <v>8</v>
      </c>
      <c r="AN113" s="2">
        <v>1</v>
      </c>
      <c r="AO113" s="329">
        <f t="shared" si="34"/>
        <v>0</v>
      </c>
      <c r="AP113" s="329">
        <f t="shared" si="35"/>
        <v>0</v>
      </c>
      <c r="AQ113" s="20">
        <f t="shared" si="36"/>
        <v>0</v>
      </c>
      <c r="AR113" s="36"/>
      <c r="AS113">
        <f t="shared" si="42"/>
        <v>0</v>
      </c>
      <c r="AT113" s="384">
        <f t="shared" si="43"/>
      </c>
      <c r="AU113" s="385">
        <f t="shared" si="37"/>
        <v>0</v>
      </c>
      <c r="AV113" s="36">
        <v>97</v>
      </c>
    </row>
    <row r="114" spans="1:48" ht="12.75">
      <c r="A114" s="443">
        <v>98</v>
      </c>
      <c r="B114" s="498">
        <f t="shared" si="22"/>
        <v>0</v>
      </c>
      <c r="C114" s="499"/>
      <c r="D114" s="498">
        <f t="shared" si="23"/>
        <v>0</v>
      </c>
      <c r="E114" s="500"/>
      <c r="F114" s="500">
        <f t="shared" si="27"/>
        <v>0</v>
      </c>
      <c r="G114" s="500"/>
      <c r="H114" s="500">
        <f t="shared" si="38"/>
        <v>0</v>
      </c>
      <c r="I114" s="501"/>
      <c r="J114" s="505">
        <f>IF(B114-H114=0,0,J112*(1+(3%)))</f>
        <v>0</v>
      </c>
      <c r="K114" s="501"/>
      <c r="L114" s="502"/>
      <c r="M114" s="501"/>
      <c r="N114" s="500">
        <v>0</v>
      </c>
      <c r="O114" s="6"/>
      <c r="P114" s="457">
        <f t="shared" si="28"/>
        <v>0</v>
      </c>
      <c r="Q114" s="1"/>
      <c r="R114" s="500">
        <f t="shared" si="29"/>
        <v>0</v>
      </c>
      <c r="S114" s="500"/>
      <c r="T114" s="500">
        <f>IF(B114&lt;=0,0,B114*IF('Simulador 7x5'!$Y$81=1,0,'Simulador 7x5'!$U$75))</f>
        <v>0</v>
      </c>
      <c r="U114" s="500"/>
      <c r="V114" s="513">
        <f>IF(B114&lt;=0,0,IF('Simulador 7x5'!$T$41=1,'Simulador 7x5'!$E$55,'Simulador 7x5'!$G$55))</f>
        <v>0</v>
      </c>
      <c r="W114" s="500"/>
      <c r="X114" s="500">
        <f t="shared" si="30"/>
        <v>0</v>
      </c>
      <c r="Y114" s="7"/>
      <c r="Z114" s="12"/>
      <c r="AA114" s="17"/>
      <c r="AB114" s="2">
        <f t="shared" si="31"/>
        <v>0</v>
      </c>
      <c r="AC114" s="21">
        <f t="shared" si="44"/>
        <v>0</v>
      </c>
      <c r="AD114" s="380">
        <f t="shared" si="39"/>
        <v>0</v>
      </c>
      <c r="AE114" s="380">
        <f t="shared" si="25"/>
        <v>0</v>
      </c>
      <c r="AF114" s="381">
        <f t="shared" si="32"/>
        <v>0</v>
      </c>
      <c r="AG114" s="380">
        <f t="shared" si="40"/>
        <v>0</v>
      </c>
      <c r="AH114" s="380">
        <f t="shared" si="41"/>
        <v>0</v>
      </c>
      <c r="AI114" s="380">
        <f>IF(AD114&lt;=0,0,AD114*IF('Simulador 7x5'!$Y$81=1,0,'Simulador 7x5'!$U$75))+IF(AD114&lt;=0,0,IF('Simulador 7x5'!$T$41=1,'Simulador 7x5'!$E$55,'Simulador 7x5'!$G$55))</f>
        <v>0</v>
      </c>
      <c r="AJ114" s="380">
        <f t="shared" si="26"/>
        <v>0</v>
      </c>
      <c r="AK114" s="109">
        <f t="shared" si="33"/>
        <v>0</v>
      </c>
      <c r="AM114" s="141">
        <v>8</v>
      </c>
      <c r="AN114" s="139">
        <v>2</v>
      </c>
      <c r="AO114" s="329">
        <f t="shared" si="34"/>
        <v>0</v>
      </c>
      <c r="AP114" s="329">
        <f t="shared" si="35"/>
        <v>0</v>
      </c>
      <c r="AQ114" s="20">
        <f t="shared" si="36"/>
        <v>0</v>
      </c>
      <c r="AR114" s="36"/>
      <c r="AS114">
        <f t="shared" si="42"/>
        <v>0</v>
      </c>
      <c r="AT114" s="384">
        <f t="shared" si="43"/>
      </c>
      <c r="AU114" s="385">
        <f t="shared" si="37"/>
        <v>0</v>
      </c>
      <c r="AV114" s="36">
        <v>98</v>
      </c>
    </row>
    <row r="115" spans="1:48" ht="12.75">
      <c r="A115" s="443">
        <v>99</v>
      </c>
      <c r="B115" s="498">
        <f t="shared" si="22"/>
        <v>0</v>
      </c>
      <c r="C115" s="499"/>
      <c r="D115" s="498">
        <f t="shared" si="23"/>
        <v>0</v>
      </c>
      <c r="E115" s="500"/>
      <c r="F115" s="500">
        <f t="shared" si="27"/>
        <v>0</v>
      </c>
      <c r="G115" s="500"/>
      <c r="H115" s="500">
        <f t="shared" si="38"/>
        <v>0</v>
      </c>
      <c r="I115" s="501"/>
      <c r="J115" s="506"/>
      <c r="K115" s="501"/>
      <c r="L115" s="502"/>
      <c r="M115" s="501"/>
      <c r="N115" s="500">
        <v>0</v>
      </c>
      <c r="O115" s="6"/>
      <c r="P115" s="457">
        <f t="shared" si="28"/>
        <v>0</v>
      </c>
      <c r="Q115" s="1"/>
      <c r="R115" s="500">
        <f t="shared" si="29"/>
        <v>0</v>
      </c>
      <c r="S115" s="500"/>
      <c r="T115" s="500">
        <f>IF(B115&lt;=0,0,B115*IF('Simulador 7x5'!$Y$81=1,0,'Simulador 7x5'!$U$75))</f>
        <v>0</v>
      </c>
      <c r="U115" s="500"/>
      <c r="V115" s="513">
        <f>IF(B115&lt;=0,0,IF('Simulador 7x5'!$T$41=1,'Simulador 7x5'!$E$55,'Simulador 7x5'!$G$55))</f>
        <v>0</v>
      </c>
      <c r="W115" s="500"/>
      <c r="X115" s="500">
        <f t="shared" si="30"/>
        <v>0</v>
      </c>
      <c r="Y115" s="7"/>
      <c r="Z115" s="12"/>
      <c r="AA115" s="17"/>
      <c r="AB115" s="2">
        <f t="shared" si="31"/>
        <v>0</v>
      </c>
      <c r="AC115" s="21">
        <f t="shared" si="44"/>
        <v>0</v>
      </c>
      <c r="AD115" s="380">
        <f t="shared" si="39"/>
        <v>0</v>
      </c>
      <c r="AE115" s="380">
        <f t="shared" si="25"/>
        <v>0</v>
      </c>
      <c r="AF115" s="381">
        <f t="shared" si="32"/>
        <v>0</v>
      </c>
      <c r="AG115" s="380">
        <f t="shared" si="40"/>
        <v>0</v>
      </c>
      <c r="AH115" s="380">
        <f t="shared" si="41"/>
        <v>0</v>
      </c>
      <c r="AI115" s="380">
        <f>IF(AD115&lt;=0,0,AD115*IF('Simulador 7x5'!$Y$81=1,0,'Simulador 7x5'!$U$75))+IF(AD115&lt;=0,0,IF('Simulador 7x5'!$T$41=1,'Simulador 7x5'!$E$55,'Simulador 7x5'!$G$55))</f>
        <v>0</v>
      </c>
      <c r="AJ115" s="380">
        <f t="shared" si="26"/>
        <v>0</v>
      </c>
      <c r="AK115" s="109">
        <f t="shared" si="33"/>
        <v>0</v>
      </c>
      <c r="AM115" s="141">
        <v>8</v>
      </c>
      <c r="AN115" s="139">
        <v>3</v>
      </c>
      <c r="AO115" s="329">
        <f t="shared" si="34"/>
        <v>0</v>
      </c>
      <c r="AP115" s="329">
        <f t="shared" si="35"/>
        <v>0</v>
      </c>
      <c r="AQ115" s="20">
        <f t="shared" si="36"/>
        <v>0</v>
      </c>
      <c r="AR115" s="36"/>
      <c r="AS115">
        <f t="shared" si="42"/>
        <v>0</v>
      </c>
      <c r="AT115" s="384">
        <f t="shared" si="43"/>
      </c>
      <c r="AU115" s="385">
        <f t="shared" si="37"/>
        <v>0</v>
      </c>
      <c r="AV115" s="36">
        <v>99</v>
      </c>
    </row>
    <row r="116" spans="1:48" ht="12.75">
      <c r="A116" s="443">
        <v>100</v>
      </c>
      <c r="B116" s="498">
        <f t="shared" si="22"/>
        <v>0</v>
      </c>
      <c r="C116" s="499"/>
      <c r="D116" s="498">
        <f t="shared" si="23"/>
        <v>0</v>
      </c>
      <c r="E116" s="500"/>
      <c r="F116" s="500">
        <f t="shared" si="27"/>
        <v>0</v>
      </c>
      <c r="G116" s="500"/>
      <c r="H116" s="500">
        <f t="shared" si="38"/>
        <v>0</v>
      </c>
      <c r="I116" s="501"/>
      <c r="J116" s="505">
        <f>IF(B116-H116=0,0,J114)</f>
        <v>0</v>
      </c>
      <c r="K116" s="501"/>
      <c r="L116" s="502"/>
      <c r="M116" s="501"/>
      <c r="N116" s="500">
        <v>0</v>
      </c>
      <c r="O116" s="6"/>
      <c r="P116" s="457">
        <f t="shared" si="28"/>
        <v>0</v>
      </c>
      <c r="Q116" s="1"/>
      <c r="R116" s="500">
        <f t="shared" si="29"/>
        <v>0</v>
      </c>
      <c r="S116" s="500"/>
      <c r="T116" s="500">
        <f>IF(B116&lt;=0,0,B116*IF('Simulador 7x5'!$Y$81=1,0,'Simulador 7x5'!$U$75))</f>
        <v>0</v>
      </c>
      <c r="U116" s="500"/>
      <c r="V116" s="513">
        <f>IF(B116&lt;=0,0,IF('Simulador 7x5'!$T$41=1,'Simulador 7x5'!$E$55,'Simulador 7x5'!$G$55))</f>
        <v>0</v>
      </c>
      <c r="W116" s="500"/>
      <c r="X116" s="500">
        <f t="shared" si="30"/>
        <v>0</v>
      </c>
      <c r="Y116" s="7"/>
      <c r="Z116" s="12"/>
      <c r="AA116" s="17"/>
      <c r="AB116" s="2">
        <f t="shared" si="31"/>
        <v>0</v>
      </c>
      <c r="AC116" s="21">
        <f t="shared" si="44"/>
        <v>0</v>
      </c>
      <c r="AD116" s="380">
        <f t="shared" si="39"/>
        <v>0</v>
      </c>
      <c r="AE116" s="380">
        <f t="shared" si="25"/>
        <v>0</v>
      </c>
      <c r="AF116" s="381">
        <f t="shared" si="32"/>
        <v>0</v>
      </c>
      <c r="AG116" s="380">
        <f t="shared" si="40"/>
        <v>0</v>
      </c>
      <c r="AH116" s="380">
        <f t="shared" si="41"/>
        <v>0</v>
      </c>
      <c r="AI116" s="380">
        <f>IF(AD116&lt;=0,0,AD116*IF('Simulador 7x5'!$Y$81=1,0,'Simulador 7x5'!$U$75))+IF(AD116&lt;=0,0,IF('Simulador 7x5'!$T$41=1,'Simulador 7x5'!$E$55,'Simulador 7x5'!$G$55))</f>
        <v>0</v>
      </c>
      <c r="AJ116" s="380">
        <f t="shared" si="26"/>
        <v>0</v>
      </c>
      <c r="AK116" s="109">
        <f t="shared" si="33"/>
        <v>0</v>
      </c>
      <c r="AM116" s="141">
        <v>8</v>
      </c>
      <c r="AN116" s="2">
        <v>4</v>
      </c>
      <c r="AO116" s="329">
        <f t="shared" si="34"/>
        <v>0</v>
      </c>
      <c r="AP116" s="329">
        <f t="shared" si="35"/>
        <v>0</v>
      </c>
      <c r="AQ116" s="20">
        <f t="shared" si="36"/>
        <v>0</v>
      </c>
      <c r="AR116" s="36"/>
      <c r="AS116">
        <f t="shared" si="42"/>
        <v>0</v>
      </c>
      <c r="AT116" s="384">
        <f t="shared" si="43"/>
      </c>
      <c r="AU116" s="385">
        <f t="shared" si="37"/>
        <v>0</v>
      </c>
      <c r="AV116" s="36">
        <v>100</v>
      </c>
    </row>
    <row r="117" spans="1:48" ht="12.75">
      <c r="A117" s="443">
        <v>101</v>
      </c>
      <c r="B117" s="498">
        <f t="shared" si="22"/>
        <v>0</v>
      </c>
      <c r="C117" s="499"/>
      <c r="D117" s="498">
        <f t="shared" si="23"/>
        <v>0</v>
      </c>
      <c r="E117" s="500"/>
      <c r="F117" s="500">
        <f t="shared" si="27"/>
        <v>0</v>
      </c>
      <c r="G117" s="500"/>
      <c r="H117" s="500">
        <f t="shared" si="38"/>
        <v>0</v>
      </c>
      <c r="I117" s="501"/>
      <c r="J117" s="506"/>
      <c r="K117" s="501"/>
      <c r="L117" s="502"/>
      <c r="M117" s="501"/>
      <c r="N117" s="500">
        <v>0</v>
      </c>
      <c r="O117" s="6"/>
      <c r="P117" s="457">
        <f t="shared" si="28"/>
        <v>0</v>
      </c>
      <c r="Q117" s="1"/>
      <c r="R117" s="500">
        <f t="shared" si="29"/>
        <v>0</v>
      </c>
      <c r="S117" s="500"/>
      <c r="T117" s="500">
        <f>IF(B117&lt;=0,0,B117*IF('Simulador 7x5'!$Y$81=1,0,'Simulador 7x5'!$U$75))</f>
        <v>0</v>
      </c>
      <c r="U117" s="500"/>
      <c r="V117" s="513">
        <f>IF(B117&lt;=0,0,IF('Simulador 7x5'!$T$41=1,'Simulador 7x5'!$E$55,'Simulador 7x5'!$G$55))</f>
        <v>0</v>
      </c>
      <c r="W117" s="500"/>
      <c r="X117" s="500">
        <f t="shared" si="30"/>
        <v>0</v>
      </c>
      <c r="Y117" s="7"/>
      <c r="Z117" s="12"/>
      <c r="AA117" s="17"/>
      <c r="AB117" s="2">
        <f t="shared" si="31"/>
        <v>0</v>
      </c>
      <c r="AC117" s="21">
        <f t="shared" si="44"/>
        <v>0</v>
      </c>
      <c r="AD117" s="380">
        <f t="shared" si="39"/>
        <v>0</v>
      </c>
      <c r="AE117" s="380">
        <f t="shared" si="25"/>
        <v>0</v>
      </c>
      <c r="AF117" s="381">
        <f t="shared" si="32"/>
        <v>0</v>
      </c>
      <c r="AG117" s="380">
        <f t="shared" si="40"/>
        <v>0</v>
      </c>
      <c r="AH117" s="380">
        <f t="shared" si="41"/>
        <v>0</v>
      </c>
      <c r="AI117" s="380">
        <f>IF(AD117&lt;=0,0,AD117*IF('Simulador 7x5'!$Y$81=1,0,'Simulador 7x5'!$U$75))+IF(AD117&lt;=0,0,IF('Simulador 7x5'!$T$41=1,'Simulador 7x5'!$E$55,'Simulador 7x5'!$G$55))</f>
        <v>0</v>
      </c>
      <c r="AJ117" s="380">
        <f t="shared" si="26"/>
        <v>0</v>
      </c>
      <c r="AK117" s="109">
        <f t="shared" si="33"/>
        <v>0</v>
      </c>
      <c r="AM117" s="141">
        <v>8</v>
      </c>
      <c r="AN117" s="2">
        <v>5</v>
      </c>
      <c r="AO117" s="329">
        <f t="shared" si="34"/>
        <v>0</v>
      </c>
      <c r="AP117" s="329">
        <f t="shared" si="35"/>
        <v>0</v>
      </c>
      <c r="AQ117" s="20">
        <f t="shared" si="36"/>
        <v>0</v>
      </c>
      <c r="AR117" s="36"/>
      <c r="AS117">
        <f t="shared" si="42"/>
        <v>0</v>
      </c>
      <c r="AT117" s="384">
        <f t="shared" si="43"/>
      </c>
      <c r="AU117" s="385">
        <f t="shared" si="37"/>
        <v>0</v>
      </c>
      <c r="AV117" s="36">
        <v>101</v>
      </c>
    </row>
    <row r="118" spans="1:48" ht="12.75">
      <c r="A118" s="443">
        <v>102</v>
      </c>
      <c r="B118" s="498">
        <f t="shared" si="22"/>
        <v>0</v>
      </c>
      <c r="C118" s="499"/>
      <c r="D118" s="498">
        <f t="shared" si="23"/>
        <v>0</v>
      </c>
      <c r="E118" s="500"/>
      <c r="F118" s="500">
        <f t="shared" si="27"/>
        <v>0</v>
      </c>
      <c r="G118" s="500"/>
      <c r="H118" s="500">
        <f t="shared" si="38"/>
        <v>0</v>
      </c>
      <c r="I118" s="501"/>
      <c r="J118" s="505">
        <f>IF(B118-H118=0,0,J116)</f>
        <v>0</v>
      </c>
      <c r="K118" s="501"/>
      <c r="L118" s="502"/>
      <c r="M118" s="501"/>
      <c r="N118" s="500">
        <v>0</v>
      </c>
      <c r="O118" s="6"/>
      <c r="P118" s="457">
        <f t="shared" si="28"/>
        <v>0</v>
      </c>
      <c r="Q118" s="1"/>
      <c r="R118" s="500">
        <f t="shared" si="29"/>
        <v>0</v>
      </c>
      <c r="S118" s="500"/>
      <c r="T118" s="500">
        <f>IF(B118&lt;=0,0,B118*IF('Simulador 7x5'!$Y$81=1,0,'Simulador 7x5'!$U$75))</f>
        <v>0</v>
      </c>
      <c r="U118" s="500"/>
      <c r="V118" s="513">
        <f>IF(B118&lt;=0,0,IF('Simulador 7x5'!$T$41=1,'Simulador 7x5'!$E$55,'Simulador 7x5'!$G$55))</f>
        <v>0</v>
      </c>
      <c r="W118" s="500"/>
      <c r="X118" s="500">
        <f t="shared" si="30"/>
        <v>0</v>
      </c>
      <c r="Y118" s="7"/>
      <c r="Z118" s="12"/>
      <c r="AA118" s="17"/>
      <c r="AB118" s="2">
        <f t="shared" si="31"/>
        <v>0</v>
      </c>
      <c r="AC118" s="21">
        <f t="shared" si="44"/>
        <v>0</v>
      </c>
      <c r="AD118" s="380">
        <f t="shared" si="39"/>
        <v>0</v>
      </c>
      <c r="AE118" s="380">
        <f t="shared" si="25"/>
        <v>0</v>
      </c>
      <c r="AF118" s="381">
        <f t="shared" si="32"/>
        <v>0</v>
      </c>
      <c r="AG118" s="380">
        <f t="shared" si="40"/>
        <v>0</v>
      </c>
      <c r="AH118" s="380">
        <f t="shared" si="41"/>
        <v>0</v>
      </c>
      <c r="AI118" s="380">
        <f>IF(AD118&lt;=0,0,AD118*IF('Simulador 7x5'!$Y$81=1,0,'Simulador 7x5'!$U$75))+IF(AD118&lt;=0,0,IF('Simulador 7x5'!$T$41=1,'Simulador 7x5'!$E$55,'Simulador 7x5'!$G$55))</f>
        <v>0</v>
      </c>
      <c r="AJ118" s="380">
        <f t="shared" si="26"/>
        <v>0</v>
      </c>
      <c r="AK118" s="109">
        <f t="shared" si="33"/>
        <v>0</v>
      </c>
      <c r="AM118" s="141">
        <v>8</v>
      </c>
      <c r="AN118" s="2">
        <v>6</v>
      </c>
      <c r="AO118" s="329">
        <f t="shared" si="34"/>
        <v>0</v>
      </c>
      <c r="AP118" s="329">
        <f t="shared" si="35"/>
        <v>0</v>
      </c>
      <c r="AQ118" s="20">
        <f t="shared" si="36"/>
        <v>0</v>
      </c>
      <c r="AR118" s="36"/>
      <c r="AS118">
        <f t="shared" si="42"/>
        <v>0</v>
      </c>
      <c r="AT118" s="384">
        <f t="shared" si="43"/>
      </c>
      <c r="AU118" s="385">
        <f t="shared" si="37"/>
        <v>0</v>
      </c>
      <c r="AV118" s="36">
        <v>102</v>
      </c>
    </row>
    <row r="119" spans="1:48" ht="12.75">
      <c r="A119" s="443">
        <v>103</v>
      </c>
      <c r="B119" s="498">
        <f t="shared" si="22"/>
        <v>0</v>
      </c>
      <c r="C119" s="499"/>
      <c r="D119" s="498">
        <f t="shared" si="23"/>
        <v>0</v>
      </c>
      <c r="E119" s="500"/>
      <c r="F119" s="500">
        <f t="shared" si="27"/>
        <v>0</v>
      </c>
      <c r="G119" s="500"/>
      <c r="H119" s="500">
        <f t="shared" si="38"/>
        <v>0</v>
      </c>
      <c r="I119" s="501"/>
      <c r="J119" s="506"/>
      <c r="K119" s="501"/>
      <c r="L119" s="502"/>
      <c r="M119" s="501"/>
      <c r="N119" s="500">
        <v>0</v>
      </c>
      <c r="O119" s="6"/>
      <c r="P119" s="457">
        <f t="shared" si="28"/>
        <v>0</v>
      </c>
      <c r="Q119" s="1"/>
      <c r="R119" s="500">
        <f t="shared" si="29"/>
        <v>0</v>
      </c>
      <c r="S119" s="500"/>
      <c r="T119" s="500">
        <f>IF(B119&lt;=0,0,B119*IF('Simulador 7x5'!$Y$81=1,0,'Simulador 7x5'!$U$75))</f>
        <v>0</v>
      </c>
      <c r="U119" s="500"/>
      <c r="V119" s="513">
        <f>IF(B119&lt;=0,0,IF('Simulador 7x5'!$T$41=1,'Simulador 7x5'!$E$55,'Simulador 7x5'!$G$55))</f>
        <v>0</v>
      </c>
      <c r="W119" s="500"/>
      <c r="X119" s="500">
        <f t="shared" si="30"/>
        <v>0</v>
      </c>
      <c r="Y119" s="7"/>
      <c r="Z119" s="12"/>
      <c r="AA119" s="17"/>
      <c r="AB119" s="2">
        <f t="shared" si="31"/>
        <v>0</v>
      </c>
      <c r="AC119" s="21">
        <f t="shared" si="44"/>
        <v>0</v>
      </c>
      <c r="AD119" s="380">
        <f t="shared" si="39"/>
        <v>0</v>
      </c>
      <c r="AE119" s="380">
        <f t="shared" si="25"/>
        <v>0</v>
      </c>
      <c r="AF119" s="381">
        <f t="shared" si="32"/>
        <v>0</v>
      </c>
      <c r="AG119" s="380">
        <f t="shared" si="40"/>
        <v>0</v>
      </c>
      <c r="AH119" s="380">
        <f t="shared" si="41"/>
        <v>0</v>
      </c>
      <c r="AI119" s="380">
        <f>IF(AD119&lt;=0,0,AD119*IF('Simulador 7x5'!$Y$81=1,0,'Simulador 7x5'!$U$75))+IF(AD119&lt;=0,0,IF('Simulador 7x5'!$T$41=1,'Simulador 7x5'!$E$55,'Simulador 7x5'!$G$55))</f>
        <v>0</v>
      </c>
      <c r="AJ119" s="380">
        <f t="shared" si="26"/>
        <v>0</v>
      </c>
      <c r="AK119" s="109">
        <f t="shared" si="33"/>
        <v>0</v>
      </c>
      <c r="AM119" s="141">
        <v>8</v>
      </c>
      <c r="AN119" s="2">
        <v>7</v>
      </c>
      <c r="AO119" s="329">
        <f t="shared" si="34"/>
        <v>0</v>
      </c>
      <c r="AP119" s="329">
        <f t="shared" si="35"/>
        <v>0</v>
      </c>
      <c r="AQ119" s="20">
        <f t="shared" si="36"/>
        <v>0</v>
      </c>
      <c r="AR119" s="36"/>
      <c r="AS119">
        <f t="shared" si="42"/>
        <v>0</v>
      </c>
      <c r="AT119" s="384">
        <f t="shared" si="43"/>
      </c>
      <c r="AU119" s="385">
        <f t="shared" si="37"/>
        <v>0</v>
      </c>
      <c r="AV119" s="36">
        <v>103</v>
      </c>
    </row>
    <row r="120" spans="1:48" ht="12.75">
      <c r="A120" s="443">
        <v>104</v>
      </c>
      <c r="B120" s="498">
        <f t="shared" si="22"/>
        <v>0</v>
      </c>
      <c r="C120" s="499"/>
      <c r="D120" s="498">
        <f t="shared" si="23"/>
        <v>0</v>
      </c>
      <c r="E120" s="500"/>
      <c r="F120" s="500">
        <f t="shared" si="27"/>
        <v>0</v>
      </c>
      <c r="G120" s="500"/>
      <c r="H120" s="500">
        <f t="shared" si="38"/>
        <v>0</v>
      </c>
      <c r="I120" s="501"/>
      <c r="J120" s="505">
        <f>IF(B120-H120=0,0,J118)</f>
        <v>0</v>
      </c>
      <c r="K120" s="501"/>
      <c r="L120" s="502"/>
      <c r="M120" s="501"/>
      <c r="N120" s="500">
        <v>0</v>
      </c>
      <c r="O120" s="6"/>
      <c r="P120" s="457">
        <f t="shared" si="28"/>
        <v>0</v>
      </c>
      <c r="Q120" s="1"/>
      <c r="R120" s="500">
        <f t="shared" si="29"/>
        <v>0</v>
      </c>
      <c r="S120" s="500"/>
      <c r="T120" s="500">
        <f>IF(B120&lt;=0,0,B120*IF('Simulador 7x5'!$Y$81=1,0,'Simulador 7x5'!$U$75))</f>
        <v>0</v>
      </c>
      <c r="U120" s="500"/>
      <c r="V120" s="513">
        <f>IF(B120&lt;=0,0,IF('Simulador 7x5'!$T$41=1,'Simulador 7x5'!$E$55,'Simulador 7x5'!$G$55))</f>
        <v>0</v>
      </c>
      <c r="W120" s="500"/>
      <c r="X120" s="500">
        <f t="shared" si="30"/>
        <v>0</v>
      </c>
      <c r="Y120" s="7"/>
      <c r="Z120" s="12"/>
      <c r="AA120" s="17"/>
      <c r="AB120" s="2">
        <f t="shared" si="31"/>
        <v>0</v>
      </c>
      <c r="AC120" s="21">
        <f t="shared" si="44"/>
        <v>0</v>
      </c>
      <c r="AD120" s="380">
        <f t="shared" si="39"/>
        <v>0</v>
      </c>
      <c r="AE120" s="380">
        <f t="shared" si="25"/>
        <v>0</v>
      </c>
      <c r="AF120" s="381">
        <f t="shared" si="32"/>
        <v>0</v>
      </c>
      <c r="AG120" s="380">
        <f t="shared" si="40"/>
        <v>0</v>
      </c>
      <c r="AH120" s="380">
        <f t="shared" si="41"/>
        <v>0</v>
      </c>
      <c r="AI120" s="380">
        <f>IF(AD120&lt;=0,0,AD120*IF('Simulador 7x5'!$Y$81=1,0,'Simulador 7x5'!$U$75))+IF(AD120&lt;=0,0,IF('Simulador 7x5'!$T$41=1,'Simulador 7x5'!$E$55,'Simulador 7x5'!$G$55))</f>
        <v>0</v>
      </c>
      <c r="AJ120" s="380">
        <f t="shared" si="26"/>
        <v>0</v>
      </c>
      <c r="AK120" s="109">
        <f t="shared" si="33"/>
        <v>0</v>
      </c>
      <c r="AM120" s="141">
        <v>8</v>
      </c>
      <c r="AN120" s="2">
        <v>8</v>
      </c>
      <c r="AO120" s="329">
        <f t="shared" si="34"/>
        <v>0</v>
      </c>
      <c r="AP120" s="329">
        <f t="shared" si="35"/>
        <v>0</v>
      </c>
      <c r="AQ120" s="20">
        <f t="shared" si="36"/>
        <v>0</v>
      </c>
      <c r="AR120" s="36"/>
      <c r="AS120">
        <f t="shared" si="42"/>
        <v>0</v>
      </c>
      <c r="AT120" s="384">
        <f t="shared" si="43"/>
      </c>
      <c r="AU120" s="385">
        <f t="shared" si="37"/>
        <v>0</v>
      </c>
      <c r="AV120" s="36">
        <v>104</v>
      </c>
    </row>
    <row r="121" spans="1:48" ht="12.75">
      <c r="A121" s="443">
        <v>105</v>
      </c>
      <c r="B121" s="498">
        <f t="shared" si="22"/>
        <v>0</v>
      </c>
      <c r="C121" s="499"/>
      <c r="D121" s="498">
        <f t="shared" si="23"/>
        <v>0</v>
      </c>
      <c r="E121" s="500"/>
      <c r="F121" s="500">
        <f t="shared" si="27"/>
        <v>0</v>
      </c>
      <c r="G121" s="500"/>
      <c r="H121" s="500">
        <f t="shared" si="38"/>
        <v>0</v>
      </c>
      <c r="I121" s="501"/>
      <c r="J121" s="506"/>
      <c r="K121" s="501"/>
      <c r="L121" s="502"/>
      <c r="M121" s="501"/>
      <c r="N121" s="500">
        <v>0</v>
      </c>
      <c r="O121" s="6"/>
      <c r="P121" s="457">
        <f t="shared" si="28"/>
        <v>0</v>
      </c>
      <c r="Q121" s="1"/>
      <c r="R121" s="500">
        <f t="shared" si="29"/>
        <v>0</v>
      </c>
      <c r="S121" s="500"/>
      <c r="T121" s="500">
        <f>IF(B121&lt;=0,0,B121*IF('Simulador 7x5'!$Y$81=1,0,'Simulador 7x5'!$U$75))</f>
        <v>0</v>
      </c>
      <c r="U121" s="500"/>
      <c r="V121" s="513">
        <f>IF(B121&lt;=0,0,IF('Simulador 7x5'!$T$41=1,'Simulador 7x5'!$E$55,'Simulador 7x5'!$G$55))</f>
        <v>0</v>
      </c>
      <c r="W121" s="500"/>
      <c r="X121" s="500">
        <f t="shared" si="30"/>
        <v>0</v>
      </c>
      <c r="Y121" s="7"/>
      <c r="Z121" s="12"/>
      <c r="AA121" s="17"/>
      <c r="AB121" s="2">
        <f t="shared" si="31"/>
        <v>0</v>
      </c>
      <c r="AC121" s="21">
        <f t="shared" si="44"/>
        <v>0</v>
      </c>
      <c r="AD121" s="380">
        <f t="shared" si="39"/>
        <v>0</v>
      </c>
      <c r="AE121" s="380">
        <f t="shared" si="25"/>
        <v>0</v>
      </c>
      <c r="AF121" s="381">
        <f t="shared" si="32"/>
        <v>0</v>
      </c>
      <c r="AG121" s="380">
        <f t="shared" si="40"/>
        <v>0</v>
      </c>
      <c r="AH121" s="380">
        <f t="shared" si="41"/>
        <v>0</v>
      </c>
      <c r="AI121" s="380">
        <f>IF(AD121&lt;=0,0,AD121*IF('Simulador 7x5'!$Y$81=1,0,'Simulador 7x5'!$U$75))+IF(AD121&lt;=0,0,IF('Simulador 7x5'!$T$41=1,'Simulador 7x5'!$E$55,'Simulador 7x5'!$G$55))</f>
        <v>0</v>
      </c>
      <c r="AJ121" s="380">
        <f t="shared" si="26"/>
        <v>0</v>
      </c>
      <c r="AK121" s="109">
        <f t="shared" si="33"/>
        <v>0</v>
      </c>
      <c r="AM121" s="141">
        <v>8</v>
      </c>
      <c r="AN121" s="140">
        <v>9</v>
      </c>
      <c r="AO121" s="329">
        <f t="shared" si="34"/>
        <v>0</v>
      </c>
      <c r="AP121" s="329">
        <f t="shared" si="35"/>
        <v>0</v>
      </c>
      <c r="AQ121" s="20">
        <f t="shared" si="36"/>
        <v>0</v>
      </c>
      <c r="AR121" s="36"/>
      <c r="AS121">
        <f t="shared" si="42"/>
        <v>0</v>
      </c>
      <c r="AT121" s="384">
        <f t="shared" si="43"/>
      </c>
      <c r="AU121" s="385">
        <f t="shared" si="37"/>
        <v>0</v>
      </c>
      <c r="AV121" s="36">
        <v>105</v>
      </c>
    </row>
    <row r="122" spans="1:48" ht="12.75">
      <c r="A122" s="443">
        <v>106</v>
      </c>
      <c r="B122" s="498">
        <f t="shared" si="22"/>
        <v>0</v>
      </c>
      <c r="C122" s="499"/>
      <c r="D122" s="498">
        <f t="shared" si="23"/>
        <v>0</v>
      </c>
      <c r="E122" s="500"/>
      <c r="F122" s="500">
        <f t="shared" si="27"/>
        <v>0</v>
      </c>
      <c r="G122" s="500"/>
      <c r="H122" s="500">
        <f t="shared" si="38"/>
        <v>0</v>
      </c>
      <c r="I122" s="501"/>
      <c r="J122" s="505">
        <f>IF(B122-H122=0,0,J120)</f>
        <v>0</v>
      </c>
      <c r="K122" s="501"/>
      <c r="L122" s="502"/>
      <c r="M122" s="501"/>
      <c r="N122" s="500">
        <v>0</v>
      </c>
      <c r="O122" s="6"/>
      <c r="P122" s="457">
        <f t="shared" si="28"/>
        <v>0</v>
      </c>
      <c r="Q122" s="1"/>
      <c r="R122" s="500">
        <f t="shared" si="29"/>
        <v>0</v>
      </c>
      <c r="S122" s="500"/>
      <c r="T122" s="500">
        <f>IF(B122&lt;=0,0,B122*IF('Simulador 7x5'!$Y$81=1,0,'Simulador 7x5'!$U$75))</f>
        <v>0</v>
      </c>
      <c r="U122" s="500"/>
      <c r="V122" s="513">
        <f>IF(B122&lt;=0,0,IF('Simulador 7x5'!$T$41=1,'Simulador 7x5'!$E$55,'Simulador 7x5'!$G$55))</f>
        <v>0</v>
      </c>
      <c r="W122" s="500"/>
      <c r="X122" s="500">
        <f t="shared" si="30"/>
        <v>0</v>
      </c>
      <c r="Y122" s="7"/>
      <c r="Z122" s="12"/>
      <c r="AA122" s="17"/>
      <c r="AB122" s="2">
        <f t="shared" si="31"/>
        <v>0</v>
      </c>
      <c r="AC122" s="21">
        <f t="shared" si="44"/>
        <v>0</v>
      </c>
      <c r="AD122" s="380">
        <f t="shared" si="39"/>
        <v>0</v>
      </c>
      <c r="AE122" s="380">
        <f t="shared" si="25"/>
        <v>0</v>
      </c>
      <c r="AF122" s="381">
        <f t="shared" si="32"/>
        <v>0</v>
      </c>
      <c r="AG122" s="380">
        <f t="shared" si="40"/>
        <v>0</v>
      </c>
      <c r="AH122" s="380">
        <f t="shared" si="41"/>
        <v>0</v>
      </c>
      <c r="AI122" s="380">
        <f>IF(AD122&lt;=0,0,AD122*IF('Simulador 7x5'!$Y$81=1,0,'Simulador 7x5'!$U$75))+IF(AD122&lt;=0,0,IF('Simulador 7x5'!$T$41=1,'Simulador 7x5'!$E$55,'Simulador 7x5'!$G$55))</f>
        <v>0</v>
      </c>
      <c r="AJ122" s="380">
        <f t="shared" si="26"/>
        <v>0</v>
      </c>
      <c r="AK122" s="109">
        <f t="shared" si="33"/>
        <v>0</v>
      </c>
      <c r="AM122" s="141">
        <v>8</v>
      </c>
      <c r="AN122" s="140">
        <v>10</v>
      </c>
      <c r="AO122" s="329">
        <f t="shared" si="34"/>
        <v>0</v>
      </c>
      <c r="AP122" s="329">
        <f t="shared" si="35"/>
        <v>0</v>
      </c>
      <c r="AQ122" s="20">
        <f t="shared" si="36"/>
        <v>0</v>
      </c>
      <c r="AR122" s="36"/>
      <c r="AS122">
        <f t="shared" si="42"/>
        <v>0</v>
      </c>
      <c r="AT122" s="384">
        <f t="shared" si="43"/>
      </c>
      <c r="AU122" s="385">
        <f t="shared" si="37"/>
        <v>0</v>
      </c>
      <c r="AV122" s="36">
        <v>106</v>
      </c>
    </row>
    <row r="123" spans="1:48" ht="12.75">
      <c r="A123" s="443">
        <v>107</v>
      </c>
      <c r="B123" s="498">
        <f t="shared" si="22"/>
        <v>0</v>
      </c>
      <c r="C123" s="499"/>
      <c r="D123" s="498">
        <f t="shared" si="23"/>
        <v>0</v>
      </c>
      <c r="E123" s="500"/>
      <c r="F123" s="500">
        <f t="shared" si="27"/>
        <v>0</v>
      </c>
      <c r="G123" s="500"/>
      <c r="H123" s="500">
        <f t="shared" si="38"/>
        <v>0</v>
      </c>
      <c r="I123" s="501"/>
      <c r="J123" s="506"/>
      <c r="K123" s="501"/>
      <c r="L123" s="502"/>
      <c r="M123" s="501"/>
      <c r="N123" s="500">
        <v>0</v>
      </c>
      <c r="O123" s="6"/>
      <c r="P123" s="457">
        <f t="shared" si="28"/>
        <v>0</v>
      </c>
      <c r="Q123" s="1"/>
      <c r="R123" s="500">
        <f t="shared" si="29"/>
        <v>0</v>
      </c>
      <c r="S123" s="500"/>
      <c r="T123" s="500">
        <f>IF(B123&lt;=0,0,B123*IF('Simulador 7x5'!$Y$81=1,0,'Simulador 7x5'!$U$75))</f>
        <v>0</v>
      </c>
      <c r="U123" s="500"/>
      <c r="V123" s="513">
        <f>IF(B123&lt;=0,0,IF('Simulador 7x5'!$T$41=1,'Simulador 7x5'!$E$55,'Simulador 7x5'!$G$55))</f>
        <v>0</v>
      </c>
      <c r="W123" s="500"/>
      <c r="X123" s="500">
        <f t="shared" si="30"/>
        <v>0</v>
      </c>
      <c r="Y123" s="7"/>
      <c r="Z123" s="12"/>
      <c r="AA123" s="17"/>
      <c r="AB123" s="2">
        <f t="shared" si="31"/>
        <v>0</v>
      </c>
      <c r="AC123" s="21">
        <f t="shared" si="44"/>
        <v>0</v>
      </c>
      <c r="AD123" s="380">
        <f t="shared" si="39"/>
        <v>0</v>
      </c>
      <c r="AE123" s="380">
        <f t="shared" si="25"/>
        <v>0</v>
      </c>
      <c r="AF123" s="381">
        <f t="shared" si="32"/>
        <v>0</v>
      </c>
      <c r="AG123" s="380">
        <f t="shared" si="40"/>
        <v>0</v>
      </c>
      <c r="AH123" s="380">
        <f t="shared" si="41"/>
        <v>0</v>
      </c>
      <c r="AI123" s="380">
        <f>IF(AD123&lt;=0,0,AD123*IF('Simulador 7x5'!$Y$81=1,0,'Simulador 7x5'!$U$75))+IF(AD123&lt;=0,0,IF('Simulador 7x5'!$T$41=1,'Simulador 7x5'!$E$55,'Simulador 7x5'!$G$55))</f>
        <v>0</v>
      </c>
      <c r="AJ123" s="380">
        <f t="shared" si="26"/>
        <v>0</v>
      </c>
      <c r="AK123" s="109">
        <f t="shared" si="33"/>
        <v>0</v>
      </c>
      <c r="AM123" s="141">
        <v>8</v>
      </c>
      <c r="AN123" s="2">
        <v>11</v>
      </c>
      <c r="AO123" s="329">
        <f t="shared" si="34"/>
        <v>0</v>
      </c>
      <c r="AP123" s="329">
        <f t="shared" si="35"/>
        <v>0</v>
      </c>
      <c r="AQ123" s="20">
        <f t="shared" si="36"/>
        <v>0</v>
      </c>
      <c r="AR123" s="36"/>
      <c r="AS123">
        <f t="shared" si="42"/>
        <v>0</v>
      </c>
      <c r="AT123" s="384">
        <f t="shared" si="43"/>
      </c>
      <c r="AU123" s="385">
        <f t="shared" si="37"/>
        <v>0</v>
      </c>
      <c r="AV123" s="36">
        <v>107</v>
      </c>
    </row>
    <row r="124" spans="1:48" ht="12.75">
      <c r="A124" s="443">
        <v>108</v>
      </c>
      <c r="B124" s="498">
        <f t="shared" si="22"/>
        <v>0</v>
      </c>
      <c r="C124" s="499"/>
      <c r="D124" s="498">
        <f t="shared" si="23"/>
        <v>0</v>
      </c>
      <c r="E124" s="500"/>
      <c r="F124" s="500">
        <f t="shared" si="27"/>
        <v>0</v>
      </c>
      <c r="G124" s="500"/>
      <c r="H124" s="500">
        <f t="shared" si="38"/>
        <v>0</v>
      </c>
      <c r="I124" s="501"/>
      <c r="J124" s="505">
        <f>IF(B124-H124=0,0,J122)</f>
        <v>0</v>
      </c>
      <c r="K124" s="501"/>
      <c r="L124" s="502"/>
      <c r="M124" s="501"/>
      <c r="N124" s="500">
        <v>0</v>
      </c>
      <c r="O124" s="6"/>
      <c r="P124" s="457">
        <f t="shared" si="28"/>
        <v>0</v>
      </c>
      <c r="Q124" s="1"/>
      <c r="R124" s="500">
        <f t="shared" si="29"/>
        <v>0</v>
      </c>
      <c r="S124" s="500"/>
      <c r="T124" s="500">
        <f>IF(B124&lt;=0,0,B124*IF('Simulador 7x5'!$Y$81=1,0,'Simulador 7x5'!$U$75))</f>
        <v>0</v>
      </c>
      <c r="U124" s="500"/>
      <c r="V124" s="513">
        <f>IF(B124&lt;=0,0,IF('Simulador 7x5'!$T$41=1,'Simulador 7x5'!$E$55,'Simulador 7x5'!$G$55))</f>
        <v>0</v>
      </c>
      <c r="W124" s="500"/>
      <c r="X124" s="500">
        <f t="shared" si="30"/>
        <v>0</v>
      </c>
      <c r="Y124" s="7"/>
      <c r="Z124" s="12"/>
      <c r="AA124" s="17"/>
      <c r="AB124" s="2">
        <f t="shared" si="31"/>
        <v>0</v>
      </c>
      <c r="AC124" s="21">
        <f t="shared" si="44"/>
        <v>0</v>
      </c>
      <c r="AD124" s="380">
        <f t="shared" si="39"/>
        <v>0</v>
      </c>
      <c r="AE124" s="380">
        <f t="shared" si="25"/>
        <v>0</v>
      </c>
      <c r="AF124" s="381">
        <f t="shared" si="32"/>
        <v>0</v>
      </c>
      <c r="AG124" s="380">
        <f t="shared" si="40"/>
        <v>0</v>
      </c>
      <c r="AH124" s="380">
        <f t="shared" si="41"/>
        <v>0</v>
      </c>
      <c r="AI124" s="380">
        <f>IF(AD124&lt;=0,0,AD124*IF('Simulador 7x5'!$Y$81=1,0,'Simulador 7x5'!$U$75))+IF(AD124&lt;=0,0,IF('Simulador 7x5'!$T$41=1,'Simulador 7x5'!$E$55,'Simulador 7x5'!$G$55))</f>
        <v>0</v>
      </c>
      <c r="AJ124" s="380">
        <f t="shared" si="26"/>
        <v>0</v>
      </c>
      <c r="AK124" s="109">
        <f t="shared" si="33"/>
        <v>0</v>
      </c>
      <c r="AM124" s="141">
        <v>9</v>
      </c>
      <c r="AN124" s="2">
        <v>0</v>
      </c>
      <c r="AO124" s="329">
        <f t="shared" si="34"/>
        <v>0</v>
      </c>
      <c r="AP124" s="329">
        <f t="shared" si="35"/>
        <v>0</v>
      </c>
      <c r="AQ124" s="20">
        <f t="shared" si="36"/>
        <v>0</v>
      </c>
      <c r="AR124" s="36"/>
      <c r="AS124">
        <f t="shared" si="42"/>
        <v>0</v>
      </c>
      <c r="AT124" s="384">
        <f t="shared" si="43"/>
      </c>
      <c r="AU124" s="385">
        <f t="shared" si="37"/>
        <v>0</v>
      </c>
      <c r="AV124" s="36">
        <v>108</v>
      </c>
    </row>
    <row r="125" spans="1:48" ht="12.75">
      <c r="A125" s="443">
        <v>109</v>
      </c>
      <c r="B125" s="498">
        <f t="shared" si="22"/>
        <v>0</v>
      </c>
      <c r="C125" s="499"/>
      <c r="D125" s="498">
        <f t="shared" si="23"/>
        <v>0</v>
      </c>
      <c r="E125" s="500"/>
      <c r="F125" s="500">
        <f t="shared" si="27"/>
        <v>0</v>
      </c>
      <c r="G125" s="500"/>
      <c r="H125" s="500">
        <f t="shared" si="38"/>
        <v>0</v>
      </c>
      <c r="I125" s="501"/>
      <c r="J125" s="506"/>
      <c r="K125" s="501"/>
      <c r="L125" s="502"/>
      <c r="M125" s="501"/>
      <c r="N125" s="500">
        <v>0</v>
      </c>
      <c r="O125" s="6"/>
      <c r="P125" s="457">
        <f t="shared" si="28"/>
        <v>0</v>
      </c>
      <c r="Q125" s="1"/>
      <c r="R125" s="500">
        <f t="shared" si="29"/>
        <v>0</v>
      </c>
      <c r="S125" s="500"/>
      <c r="T125" s="500">
        <f>IF(B125&lt;=0,0,B125*IF('Simulador 7x5'!$Y$81=1,0,'Simulador 7x5'!$U$75))</f>
        <v>0</v>
      </c>
      <c r="U125" s="500"/>
      <c r="V125" s="513">
        <f>IF(B125&lt;=0,0,IF('Simulador 7x5'!$T$41=1,'Simulador 7x5'!$E$55,'Simulador 7x5'!$G$55))</f>
        <v>0</v>
      </c>
      <c r="W125" s="500"/>
      <c r="X125" s="500">
        <f t="shared" si="30"/>
        <v>0</v>
      </c>
      <c r="Y125" s="7"/>
      <c r="Z125" s="12">
        <f>IF(B125&lt;=0,0,'Simulador 7x5'!$AE$54)</f>
        <v>0</v>
      </c>
      <c r="AA125" s="17"/>
      <c r="AB125" s="2">
        <f t="shared" si="31"/>
        <v>0</v>
      </c>
      <c r="AC125" s="21">
        <f t="shared" si="44"/>
        <v>0</v>
      </c>
      <c r="AD125" s="380">
        <f t="shared" si="39"/>
        <v>0</v>
      </c>
      <c r="AE125" s="380">
        <f t="shared" si="25"/>
        <v>0</v>
      </c>
      <c r="AF125" s="381">
        <f t="shared" si="32"/>
        <v>0</v>
      </c>
      <c r="AG125" s="380">
        <f t="shared" si="40"/>
        <v>0</v>
      </c>
      <c r="AH125" s="380">
        <f t="shared" si="41"/>
        <v>0</v>
      </c>
      <c r="AI125" s="380">
        <f>IF(AD125&lt;=0,0,AD125*IF('Simulador 7x5'!$Y$81=1,0,'Simulador 7x5'!$U$75))+IF(AD125&lt;=0,0,IF('Simulador 7x5'!$T$41=1,'Simulador 7x5'!$E$55,'Simulador 7x5'!$G$55))</f>
        <v>0</v>
      </c>
      <c r="AJ125" s="380">
        <f t="shared" si="26"/>
        <v>0</v>
      </c>
      <c r="AK125" s="109">
        <f t="shared" si="33"/>
        <v>0</v>
      </c>
      <c r="AM125" s="141">
        <v>9</v>
      </c>
      <c r="AN125" s="2">
        <v>1</v>
      </c>
      <c r="AO125" s="329">
        <f t="shared" si="34"/>
        <v>0</v>
      </c>
      <c r="AP125" s="329">
        <f t="shared" si="35"/>
        <v>0</v>
      </c>
      <c r="AQ125" s="20">
        <f t="shared" si="36"/>
        <v>0</v>
      </c>
      <c r="AR125" s="36"/>
      <c r="AS125">
        <f t="shared" si="42"/>
        <v>0</v>
      </c>
      <c r="AT125" s="384">
        <f t="shared" si="43"/>
      </c>
      <c r="AU125" s="385">
        <f t="shared" si="37"/>
        <v>0</v>
      </c>
      <c r="AV125" s="36">
        <v>109</v>
      </c>
    </row>
    <row r="126" spans="1:48" ht="12.75">
      <c r="A126" s="443">
        <v>110</v>
      </c>
      <c r="B126" s="498">
        <f t="shared" si="22"/>
        <v>0</v>
      </c>
      <c r="C126" s="499"/>
      <c r="D126" s="498">
        <f t="shared" si="23"/>
        <v>0</v>
      </c>
      <c r="E126" s="500"/>
      <c r="F126" s="500">
        <f t="shared" si="27"/>
        <v>0</v>
      </c>
      <c r="G126" s="500"/>
      <c r="H126" s="500">
        <f t="shared" si="38"/>
        <v>0</v>
      </c>
      <c r="I126" s="501"/>
      <c r="J126" s="505">
        <f>IF(B126-H126=0,0,J124*(1+(3%)))</f>
        <v>0</v>
      </c>
      <c r="K126" s="501"/>
      <c r="L126" s="502"/>
      <c r="M126" s="501"/>
      <c r="N126" s="500">
        <v>0</v>
      </c>
      <c r="O126" s="6"/>
      <c r="P126" s="457">
        <f t="shared" si="28"/>
        <v>0</v>
      </c>
      <c r="Q126" s="1"/>
      <c r="R126" s="500">
        <f t="shared" si="29"/>
        <v>0</v>
      </c>
      <c r="S126" s="500"/>
      <c r="T126" s="500">
        <f>IF(B126&lt;=0,0,B126*IF('Simulador 7x5'!$Y$81=1,0,'Simulador 7x5'!$U$75))</f>
        <v>0</v>
      </c>
      <c r="U126" s="500"/>
      <c r="V126" s="513">
        <f>IF(B126&lt;=0,0,IF('Simulador 7x5'!$T$41=1,'Simulador 7x5'!$E$55,'Simulador 7x5'!$G$55))</f>
        <v>0</v>
      </c>
      <c r="W126" s="500"/>
      <c r="X126" s="500">
        <f t="shared" si="30"/>
        <v>0</v>
      </c>
      <c r="Y126" s="7"/>
      <c r="Z126" s="12"/>
      <c r="AA126" s="17"/>
      <c r="AB126" s="2">
        <f t="shared" si="31"/>
        <v>0</v>
      </c>
      <c r="AC126" s="21">
        <f t="shared" si="44"/>
        <v>0</v>
      </c>
      <c r="AD126" s="380">
        <f t="shared" si="39"/>
        <v>0</v>
      </c>
      <c r="AE126" s="380">
        <f t="shared" si="25"/>
        <v>0</v>
      </c>
      <c r="AF126" s="381">
        <f t="shared" si="32"/>
        <v>0</v>
      </c>
      <c r="AG126" s="380">
        <f t="shared" si="40"/>
        <v>0</v>
      </c>
      <c r="AH126" s="380">
        <f t="shared" si="41"/>
        <v>0</v>
      </c>
      <c r="AI126" s="380">
        <f>IF(AD126&lt;=0,0,AD126*IF('Simulador 7x5'!$Y$81=1,0,'Simulador 7x5'!$U$75))+IF(AD126&lt;=0,0,IF('Simulador 7x5'!$T$41=1,'Simulador 7x5'!$E$55,'Simulador 7x5'!$G$55))</f>
        <v>0</v>
      </c>
      <c r="AJ126" s="380">
        <f t="shared" si="26"/>
        <v>0</v>
      </c>
      <c r="AK126" s="109">
        <f t="shared" si="33"/>
        <v>0</v>
      </c>
      <c r="AM126" s="141">
        <v>9</v>
      </c>
      <c r="AN126" s="139">
        <v>2</v>
      </c>
      <c r="AO126" s="329">
        <f t="shared" si="34"/>
        <v>0</v>
      </c>
      <c r="AP126" s="329">
        <f t="shared" si="35"/>
        <v>0</v>
      </c>
      <c r="AQ126" s="20">
        <f t="shared" si="36"/>
        <v>0</v>
      </c>
      <c r="AR126" s="36"/>
      <c r="AS126">
        <f t="shared" si="42"/>
        <v>0</v>
      </c>
      <c r="AT126" s="384">
        <f t="shared" si="43"/>
      </c>
      <c r="AU126" s="385">
        <f t="shared" si="37"/>
        <v>0</v>
      </c>
      <c r="AV126" s="36">
        <v>110</v>
      </c>
    </row>
    <row r="127" spans="1:48" ht="12.75">
      <c r="A127" s="443">
        <v>111</v>
      </c>
      <c r="B127" s="498">
        <f t="shared" si="22"/>
        <v>0</v>
      </c>
      <c r="C127" s="499"/>
      <c r="D127" s="498">
        <f t="shared" si="23"/>
        <v>0</v>
      </c>
      <c r="E127" s="500"/>
      <c r="F127" s="500">
        <f t="shared" si="27"/>
        <v>0</v>
      </c>
      <c r="G127" s="500"/>
      <c r="H127" s="500">
        <f t="shared" si="38"/>
        <v>0</v>
      </c>
      <c r="I127" s="501"/>
      <c r="J127" s="506"/>
      <c r="K127" s="501"/>
      <c r="L127" s="502"/>
      <c r="M127" s="501"/>
      <c r="N127" s="500">
        <v>0</v>
      </c>
      <c r="O127" s="6"/>
      <c r="P127" s="457">
        <f t="shared" si="28"/>
        <v>0</v>
      </c>
      <c r="Q127" s="1"/>
      <c r="R127" s="500">
        <f t="shared" si="29"/>
        <v>0</v>
      </c>
      <c r="S127" s="500"/>
      <c r="T127" s="500">
        <f>IF(B127&lt;=0,0,B127*IF('Simulador 7x5'!$Y$81=1,0,'Simulador 7x5'!$U$75))</f>
        <v>0</v>
      </c>
      <c r="U127" s="500"/>
      <c r="V127" s="513">
        <f>IF(B127&lt;=0,0,IF('Simulador 7x5'!$T$41=1,'Simulador 7x5'!$E$55,'Simulador 7x5'!$G$55))</f>
        <v>0</v>
      </c>
      <c r="W127" s="500"/>
      <c r="X127" s="500">
        <f t="shared" si="30"/>
        <v>0</v>
      </c>
      <c r="Y127" s="7"/>
      <c r="Z127" s="12"/>
      <c r="AA127" s="17"/>
      <c r="AB127" s="2">
        <f t="shared" si="31"/>
        <v>0</v>
      </c>
      <c r="AC127" s="21">
        <f t="shared" si="44"/>
        <v>0</v>
      </c>
      <c r="AD127" s="380">
        <f t="shared" si="39"/>
        <v>0</v>
      </c>
      <c r="AE127" s="380">
        <f t="shared" si="25"/>
        <v>0</v>
      </c>
      <c r="AF127" s="381">
        <f t="shared" si="32"/>
        <v>0</v>
      </c>
      <c r="AG127" s="380">
        <f t="shared" si="40"/>
        <v>0</v>
      </c>
      <c r="AH127" s="380">
        <f t="shared" si="41"/>
        <v>0</v>
      </c>
      <c r="AI127" s="380">
        <f>IF(AD127&lt;=0,0,AD127*IF('Simulador 7x5'!$Y$81=1,0,'Simulador 7x5'!$U$75))+IF(AD127&lt;=0,0,IF('Simulador 7x5'!$T$41=1,'Simulador 7x5'!$E$55,'Simulador 7x5'!$G$55))</f>
        <v>0</v>
      </c>
      <c r="AJ127" s="380">
        <f t="shared" si="26"/>
        <v>0</v>
      </c>
      <c r="AK127" s="109">
        <f t="shared" si="33"/>
        <v>0</v>
      </c>
      <c r="AM127" s="141">
        <v>9</v>
      </c>
      <c r="AN127" s="139">
        <v>3</v>
      </c>
      <c r="AO127" s="329">
        <f t="shared" si="34"/>
        <v>0</v>
      </c>
      <c r="AP127" s="329">
        <f t="shared" si="35"/>
        <v>0</v>
      </c>
      <c r="AQ127" s="20">
        <f t="shared" si="36"/>
        <v>0</v>
      </c>
      <c r="AR127" s="36"/>
      <c r="AS127">
        <f t="shared" si="42"/>
        <v>0</v>
      </c>
      <c r="AT127" s="384">
        <f t="shared" si="43"/>
      </c>
      <c r="AU127" s="385">
        <f t="shared" si="37"/>
        <v>0</v>
      </c>
      <c r="AV127" s="36">
        <v>111</v>
      </c>
    </row>
    <row r="128" spans="1:48" ht="12.75">
      <c r="A128" s="443">
        <v>112</v>
      </c>
      <c r="B128" s="498">
        <f t="shared" si="22"/>
        <v>0</v>
      </c>
      <c r="C128" s="499"/>
      <c r="D128" s="498">
        <f t="shared" si="23"/>
        <v>0</v>
      </c>
      <c r="E128" s="500"/>
      <c r="F128" s="500">
        <f t="shared" si="27"/>
        <v>0</v>
      </c>
      <c r="G128" s="500"/>
      <c r="H128" s="500">
        <f t="shared" si="38"/>
        <v>0</v>
      </c>
      <c r="I128" s="501"/>
      <c r="J128" s="505">
        <f>IF(B128-H128=0,0,J126)</f>
        <v>0</v>
      </c>
      <c r="K128" s="501"/>
      <c r="L128" s="502"/>
      <c r="M128" s="501"/>
      <c r="N128" s="500">
        <v>0</v>
      </c>
      <c r="O128" s="6"/>
      <c r="P128" s="457">
        <f t="shared" si="28"/>
        <v>0</v>
      </c>
      <c r="Q128" s="1"/>
      <c r="R128" s="500">
        <f t="shared" si="29"/>
        <v>0</v>
      </c>
      <c r="S128" s="500"/>
      <c r="T128" s="500">
        <f>IF(B128&lt;=0,0,B128*IF('Simulador 7x5'!$Y$81=1,0,'Simulador 7x5'!$U$75))</f>
        <v>0</v>
      </c>
      <c r="U128" s="500"/>
      <c r="V128" s="513">
        <f>IF(B128&lt;=0,0,IF('Simulador 7x5'!$T$41=1,'Simulador 7x5'!$E$55,'Simulador 7x5'!$G$55))</f>
        <v>0</v>
      </c>
      <c r="W128" s="500"/>
      <c r="X128" s="500">
        <f t="shared" si="30"/>
        <v>0</v>
      </c>
      <c r="Y128" s="7"/>
      <c r="Z128" s="12"/>
      <c r="AA128" s="17"/>
      <c r="AB128" s="2">
        <f t="shared" si="31"/>
        <v>0</v>
      </c>
      <c r="AC128" s="21">
        <f t="shared" si="44"/>
        <v>0</v>
      </c>
      <c r="AD128" s="380">
        <f t="shared" si="39"/>
        <v>0</v>
      </c>
      <c r="AE128" s="380">
        <f t="shared" si="25"/>
        <v>0</v>
      </c>
      <c r="AF128" s="381">
        <f t="shared" si="32"/>
        <v>0</v>
      </c>
      <c r="AG128" s="380">
        <f t="shared" si="40"/>
        <v>0</v>
      </c>
      <c r="AH128" s="380">
        <f t="shared" si="41"/>
        <v>0</v>
      </c>
      <c r="AI128" s="380">
        <f>IF(AD128&lt;=0,0,AD128*IF('Simulador 7x5'!$Y$81=1,0,'Simulador 7x5'!$U$75))+IF(AD128&lt;=0,0,IF('Simulador 7x5'!$T$41=1,'Simulador 7x5'!$E$55,'Simulador 7x5'!$G$55))</f>
        <v>0</v>
      </c>
      <c r="AJ128" s="380">
        <f t="shared" si="26"/>
        <v>0</v>
      </c>
      <c r="AK128" s="109">
        <f t="shared" si="33"/>
        <v>0</v>
      </c>
      <c r="AM128" s="141">
        <v>9</v>
      </c>
      <c r="AN128" s="2">
        <v>4</v>
      </c>
      <c r="AO128" s="329">
        <f t="shared" si="34"/>
        <v>0</v>
      </c>
      <c r="AP128" s="329">
        <f t="shared" si="35"/>
        <v>0</v>
      </c>
      <c r="AQ128" s="20">
        <f t="shared" si="36"/>
        <v>0</v>
      </c>
      <c r="AR128" s="36"/>
      <c r="AS128">
        <f t="shared" si="42"/>
        <v>0</v>
      </c>
      <c r="AT128" s="384">
        <f t="shared" si="43"/>
      </c>
      <c r="AU128" s="385">
        <f t="shared" si="37"/>
        <v>0</v>
      </c>
      <c r="AV128" s="36">
        <v>112</v>
      </c>
    </row>
    <row r="129" spans="1:48" ht="12.75">
      <c r="A129" s="443">
        <v>113</v>
      </c>
      <c r="B129" s="498">
        <f t="shared" si="22"/>
        <v>0</v>
      </c>
      <c r="C129" s="499"/>
      <c r="D129" s="498">
        <f t="shared" si="23"/>
        <v>0</v>
      </c>
      <c r="E129" s="500"/>
      <c r="F129" s="500">
        <f t="shared" si="27"/>
        <v>0</v>
      </c>
      <c r="G129" s="500"/>
      <c r="H129" s="500">
        <f t="shared" si="38"/>
        <v>0</v>
      </c>
      <c r="I129" s="501"/>
      <c r="J129" s="506"/>
      <c r="K129" s="501"/>
      <c r="L129" s="502"/>
      <c r="M129" s="501"/>
      <c r="N129" s="500">
        <v>0</v>
      </c>
      <c r="O129" s="6"/>
      <c r="P129" s="457">
        <f t="shared" si="28"/>
        <v>0</v>
      </c>
      <c r="Q129" s="1"/>
      <c r="R129" s="500">
        <f t="shared" si="29"/>
        <v>0</v>
      </c>
      <c r="S129" s="500"/>
      <c r="T129" s="500">
        <f>IF(B129&lt;=0,0,B129*IF('Simulador 7x5'!$Y$81=1,0,'Simulador 7x5'!$U$75))</f>
        <v>0</v>
      </c>
      <c r="U129" s="500"/>
      <c r="V129" s="513">
        <f>IF(B129&lt;=0,0,IF('Simulador 7x5'!$T$41=1,'Simulador 7x5'!$E$55,'Simulador 7x5'!$G$55))</f>
        <v>0</v>
      </c>
      <c r="W129" s="500"/>
      <c r="X129" s="500">
        <f t="shared" si="30"/>
        <v>0</v>
      </c>
      <c r="Y129" s="7"/>
      <c r="Z129" s="12"/>
      <c r="AA129" s="17"/>
      <c r="AB129" s="2">
        <f t="shared" si="31"/>
        <v>0</v>
      </c>
      <c r="AC129" s="21">
        <f t="shared" si="44"/>
        <v>0</v>
      </c>
      <c r="AD129" s="380">
        <f t="shared" si="39"/>
        <v>0</v>
      </c>
      <c r="AE129" s="380">
        <f t="shared" si="25"/>
        <v>0</v>
      </c>
      <c r="AF129" s="381">
        <f t="shared" si="32"/>
        <v>0</v>
      </c>
      <c r="AG129" s="380">
        <f t="shared" si="40"/>
        <v>0</v>
      </c>
      <c r="AH129" s="380">
        <f t="shared" si="41"/>
        <v>0</v>
      </c>
      <c r="AI129" s="380">
        <f>IF(AD129&lt;=0,0,AD129*IF('Simulador 7x5'!$Y$81=1,0,'Simulador 7x5'!$U$75))+IF(AD129&lt;=0,0,IF('Simulador 7x5'!$T$41=1,'Simulador 7x5'!$E$55,'Simulador 7x5'!$G$55))</f>
        <v>0</v>
      </c>
      <c r="AJ129" s="380">
        <f t="shared" si="26"/>
        <v>0</v>
      </c>
      <c r="AK129" s="109">
        <f t="shared" si="33"/>
        <v>0</v>
      </c>
      <c r="AM129" s="141">
        <v>9</v>
      </c>
      <c r="AN129" s="2">
        <v>5</v>
      </c>
      <c r="AO129" s="329">
        <f t="shared" si="34"/>
        <v>0</v>
      </c>
      <c r="AP129" s="329">
        <f t="shared" si="35"/>
        <v>0</v>
      </c>
      <c r="AQ129" s="20">
        <f t="shared" si="36"/>
        <v>0</v>
      </c>
      <c r="AR129" s="36"/>
      <c r="AS129">
        <f t="shared" si="42"/>
        <v>0</v>
      </c>
      <c r="AT129" s="384">
        <f t="shared" si="43"/>
      </c>
      <c r="AU129" s="385">
        <f t="shared" si="37"/>
        <v>0</v>
      </c>
      <c r="AV129" s="36">
        <v>113</v>
      </c>
    </row>
    <row r="130" spans="1:48" ht="12.75">
      <c r="A130" s="443">
        <v>114</v>
      </c>
      <c r="B130" s="498">
        <f t="shared" si="22"/>
        <v>0</v>
      </c>
      <c r="C130" s="499"/>
      <c r="D130" s="498">
        <f t="shared" si="23"/>
        <v>0</v>
      </c>
      <c r="E130" s="500"/>
      <c r="F130" s="500">
        <f t="shared" si="27"/>
        <v>0</v>
      </c>
      <c r="G130" s="500"/>
      <c r="H130" s="500">
        <f t="shared" si="38"/>
        <v>0</v>
      </c>
      <c r="I130" s="501"/>
      <c r="J130" s="505">
        <f>IF(B130-H130=0,0,J128)</f>
        <v>0</v>
      </c>
      <c r="K130" s="501"/>
      <c r="L130" s="502"/>
      <c r="M130" s="501"/>
      <c r="N130" s="500">
        <v>0</v>
      </c>
      <c r="O130" s="6"/>
      <c r="P130" s="457">
        <f t="shared" si="28"/>
        <v>0</v>
      </c>
      <c r="Q130" s="1"/>
      <c r="R130" s="500">
        <f t="shared" si="29"/>
        <v>0</v>
      </c>
      <c r="S130" s="500"/>
      <c r="T130" s="500">
        <f>IF(B130&lt;=0,0,B130*IF('Simulador 7x5'!$Y$81=1,0,'Simulador 7x5'!$U$75))</f>
        <v>0</v>
      </c>
      <c r="U130" s="500"/>
      <c r="V130" s="513">
        <f>IF(B130&lt;=0,0,IF('Simulador 7x5'!$T$41=1,'Simulador 7x5'!$E$55,'Simulador 7x5'!$G$55))</f>
        <v>0</v>
      </c>
      <c r="W130" s="500"/>
      <c r="X130" s="500">
        <f t="shared" si="30"/>
        <v>0</v>
      </c>
      <c r="Y130" s="7"/>
      <c r="Z130" s="12"/>
      <c r="AA130" s="17"/>
      <c r="AB130" s="2">
        <f t="shared" si="31"/>
        <v>0</v>
      </c>
      <c r="AC130" s="21">
        <f t="shared" si="44"/>
        <v>0</v>
      </c>
      <c r="AD130" s="380">
        <f t="shared" si="39"/>
        <v>0</v>
      </c>
      <c r="AE130" s="380">
        <f t="shared" si="25"/>
        <v>0</v>
      </c>
      <c r="AF130" s="381">
        <f t="shared" si="32"/>
        <v>0</v>
      </c>
      <c r="AG130" s="380">
        <f t="shared" si="40"/>
        <v>0</v>
      </c>
      <c r="AH130" s="380">
        <f t="shared" si="41"/>
        <v>0</v>
      </c>
      <c r="AI130" s="380">
        <f>IF(AD130&lt;=0,0,AD130*IF('Simulador 7x5'!$Y$81=1,0,'Simulador 7x5'!$U$75))+IF(AD130&lt;=0,0,IF('Simulador 7x5'!$T$41=1,'Simulador 7x5'!$E$55,'Simulador 7x5'!$G$55))</f>
        <v>0</v>
      </c>
      <c r="AJ130" s="380">
        <f t="shared" si="26"/>
        <v>0</v>
      </c>
      <c r="AK130" s="109">
        <f t="shared" si="33"/>
        <v>0</v>
      </c>
      <c r="AM130" s="141">
        <v>9</v>
      </c>
      <c r="AN130" s="2">
        <v>6</v>
      </c>
      <c r="AO130" s="329">
        <f t="shared" si="34"/>
        <v>0</v>
      </c>
      <c r="AP130" s="329">
        <f t="shared" si="35"/>
        <v>0</v>
      </c>
      <c r="AQ130" s="20">
        <f t="shared" si="36"/>
        <v>0</v>
      </c>
      <c r="AR130" s="36"/>
      <c r="AS130">
        <f t="shared" si="42"/>
        <v>0</v>
      </c>
      <c r="AT130" s="384">
        <f t="shared" si="43"/>
      </c>
      <c r="AU130" s="385">
        <f t="shared" si="37"/>
        <v>0</v>
      </c>
      <c r="AV130" s="36">
        <v>114</v>
      </c>
    </row>
    <row r="131" spans="1:48" ht="12.75">
      <c r="A131" s="443">
        <v>115</v>
      </c>
      <c r="B131" s="498">
        <f t="shared" si="22"/>
        <v>0</v>
      </c>
      <c r="C131" s="499"/>
      <c r="D131" s="498">
        <f t="shared" si="23"/>
        <v>0</v>
      </c>
      <c r="E131" s="500"/>
      <c r="F131" s="500">
        <f t="shared" si="27"/>
        <v>0</v>
      </c>
      <c r="G131" s="500"/>
      <c r="H131" s="500">
        <f t="shared" si="38"/>
        <v>0</v>
      </c>
      <c r="I131" s="501"/>
      <c r="J131" s="506"/>
      <c r="K131" s="501"/>
      <c r="L131" s="502"/>
      <c r="M131" s="501"/>
      <c r="N131" s="500">
        <v>0</v>
      </c>
      <c r="O131" s="6"/>
      <c r="P131" s="457">
        <f t="shared" si="28"/>
        <v>0</v>
      </c>
      <c r="Q131" s="1"/>
      <c r="R131" s="500">
        <f t="shared" si="29"/>
        <v>0</v>
      </c>
      <c r="S131" s="500"/>
      <c r="T131" s="500">
        <f>IF(B131&lt;=0,0,B131*IF('Simulador 7x5'!$Y$81=1,0,'Simulador 7x5'!$U$75))</f>
        <v>0</v>
      </c>
      <c r="U131" s="500"/>
      <c r="V131" s="513">
        <f>IF(B131&lt;=0,0,IF('Simulador 7x5'!$T$41=1,'Simulador 7x5'!$E$55,'Simulador 7x5'!$G$55))</f>
        <v>0</v>
      </c>
      <c r="W131" s="500"/>
      <c r="X131" s="500">
        <f t="shared" si="30"/>
        <v>0</v>
      </c>
      <c r="Y131" s="7"/>
      <c r="Z131" s="12"/>
      <c r="AA131" s="17"/>
      <c r="AB131" s="2">
        <f t="shared" si="31"/>
        <v>0</v>
      </c>
      <c r="AC131" s="21">
        <f t="shared" si="44"/>
        <v>0</v>
      </c>
      <c r="AD131" s="380">
        <f t="shared" si="39"/>
        <v>0</v>
      </c>
      <c r="AE131" s="380">
        <f t="shared" si="25"/>
        <v>0</v>
      </c>
      <c r="AF131" s="381">
        <f t="shared" si="32"/>
        <v>0</v>
      </c>
      <c r="AG131" s="380">
        <f t="shared" si="40"/>
        <v>0</v>
      </c>
      <c r="AH131" s="380">
        <f t="shared" si="41"/>
        <v>0</v>
      </c>
      <c r="AI131" s="380">
        <f>IF(AD131&lt;=0,0,AD131*IF('Simulador 7x5'!$Y$81=1,0,'Simulador 7x5'!$U$75))+IF(AD131&lt;=0,0,IF('Simulador 7x5'!$T$41=1,'Simulador 7x5'!$E$55,'Simulador 7x5'!$G$55))</f>
        <v>0</v>
      </c>
      <c r="AJ131" s="380">
        <f t="shared" si="26"/>
        <v>0</v>
      </c>
      <c r="AK131" s="109">
        <f t="shared" si="33"/>
        <v>0</v>
      </c>
      <c r="AM131" s="141">
        <v>9</v>
      </c>
      <c r="AN131" s="2">
        <v>7</v>
      </c>
      <c r="AO131" s="329">
        <f t="shared" si="34"/>
        <v>0</v>
      </c>
      <c r="AP131" s="329">
        <f t="shared" si="35"/>
        <v>0</v>
      </c>
      <c r="AQ131" s="20">
        <f t="shared" si="36"/>
        <v>0</v>
      </c>
      <c r="AR131" s="36"/>
      <c r="AS131">
        <f t="shared" si="42"/>
        <v>0</v>
      </c>
      <c r="AT131" s="384">
        <f t="shared" si="43"/>
      </c>
      <c r="AU131" s="385">
        <f t="shared" si="37"/>
        <v>0</v>
      </c>
      <c r="AV131" s="36">
        <v>115</v>
      </c>
    </row>
    <row r="132" spans="1:48" ht="12.75">
      <c r="A132" s="443">
        <v>116</v>
      </c>
      <c r="B132" s="498">
        <f t="shared" si="22"/>
        <v>0</v>
      </c>
      <c r="C132" s="499"/>
      <c r="D132" s="498">
        <f t="shared" si="23"/>
        <v>0</v>
      </c>
      <c r="E132" s="500"/>
      <c r="F132" s="500">
        <f t="shared" si="27"/>
        <v>0</v>
      </c>
      <c r="G132" s="500"/>
      <c r="H132" s="500">
        <f t="shared" si="38"/>
        <v>0</v>
      </c>
      <c r="I132" s="501"/>
      <c r="J132" s="505">
        <f>IF(B132-H132=0,0,J130)</f>
        <v>0</v>
      </c>
      <c r="K132" s="501"/>
      <c r="L132" s="502"/>
      <c r="M132" s="501"/>
      <c r="N132" s="500">
        <v>0</v>
      </c>
      <c r="O132" s="6"/>
      <c r="P132" s="457">
        <f t="shared" si="28"/>
        <v>0</v>
      </c>
      <c r="Q132" s="1"/>
      <c r="R132" s="500">
        <f t="shared" si="29"/>
        <v>0</v>
      </c>
      <c r="S132" s="500"/>
      <c r="T132" s="500">
        <f>IF(B132&lt;=0,0,B132*IF('Simulador 7x5'!$Y$81=1,0,'Simulador 7x5'!$U$75))</f>
        <v>0</v>
      </c>
      <c r="U132" s="500"/>
      <c r="V132" s="513">
        <f>IF(B132&lt;=0,0,IF('Simulador 7x5'!$T$41=1,'Simulador 7x5'!$E$55,'Simulador 7x5'!$G$55))</f>
        <v>0</v>
      </c>
      <c r="W132" s="500"/>
      <c r="X132" s="500">
        <f t="shared" si="30"/>
        <v>0</v>
      </c>
      <c r="Y132" s="7"/>
      <c r="Z132" s="12"/>
      <c r="AA132" s="17"/>
      <c r="AB132" s="2">
        <f t="shared" si="31"/>
        <v>0</v>
      </c>
      <c r="AC132" s="21">
        <f t="shared" si="44"/>
        <v>0</v>
      </c>
      <c r="AD132" s="380">
        <f t="shared" si="39"/>
        <v>0</v>
      </c>
      <c r="AE132" s="380">
        <f t="shared" si="25"/>
        <v>0</v>
      </c>
      <c r="AF132" s="381">
        <f t="shared" si="32"/>
        <v>0</v>
      </c>
      <c r="AG132" s="380">
        <f t="shared" si="40"/>
        <v>0</v>
      </c>
      <c r="AH132" s="380">
        <f t="shared" si="41"/>
        <v>0</v>
      </c>
      <c r="AI132" s="380">
        <f>IF(AD132&lt;=0,0,AD132*IF('Simulador 7x5'!$Y$81=1,0,'Simulador 7x5'!$U$75))+IF(AD132&lt;=0,0,IF('Simulador 7x5'!$T$41=1,'Simulador 7x5'!$E$55,'Simulador 7x5'!$G$55))</f>
        <v>0</v>
      </c>
      <c r="AJ132" s="380">
        <f t="shared" si="26"/>
        <v>0</v>
      </c>
      <c r="AK132" s="109">
        <f t="shared" si="33"/>
        <v>0</v>
      </c>
      <c r="AM132" s="141">
        <v>9</v>
      </c>
      <c r="AN132" s="2">
        <v>8</v>
      </c>
      <c r="AO132" s="329">
        <f t="shared" si="34"/>
        <v>0</v>
      </c>
      <c r="AP132" s="329">
        <f t="shared" si="35"/>
        <v>0</v>
      </c>
      <c r="AQ132" s="20">
        <f t="shared" si="36"/>
        <v>0</v>
      </c>
      <c r="AR132" s="36"/>
      <c r="AS132">
        <f t="shared" si="42"/>
        <v>0</v>
      </c>
      <c r="AT132" s="384">
        <f t="shared" si="43"/>
      </c>
      <c r="AU132" s="385">
        <f t="shared" si="37"/>
        <v>0</v>
      </c>
      <c r="AV132" s="36">
        <v>116</v>
      </c>
    </row>
    <row r="133" spans="1:48" ht="12.75">
      <c r="A133" s="443">
        <v>117</v>
      </c>
      <c r="B133" s="498">
        <f t="shared" si="22"/>
        <v>0</v>
      </c>
      <c r="C133" s="499"/>
      <c r="D133" s="498">
        <f t="shared" si="23"/>
        <v>0</v>
      </c>
      <c r="E133" s="500"/>
      <c r="F133" s="500">
        <f t="shared" si="27"/>
        <v>0</v>
      </c>
      <c r="G133" s="500"/>
      <c r="H133" s="500">
        <f t="shared" si="38"/>
        <v>0</v>
      </c>
      <c r="I133" s="501"/>
      <c r="J133" s="506"/>
      <c r="K133" s="501"/>
      <c r="L133" s="502"/>
      <c r="M133" s="501"/>
      <c r="N133" s="500">
        <v>0</v>
      </c>
      <c r="O133" s="6"/>
      <c r="P133" s="457">
        <f t="shared" si="28"/>
        <v>0</v>
      </c>
      <c r="Q133" s="1"/>
      <c r="R133" s="500">
        <f t="shared" si="29"/>
        <v>0</v>
      </c>
      <c r="S133" s="500"/>
      <c r="T133" s="500">
        <f>IF(B133&lt;=0,0,B133*IF('Simulador 7x5'!$Y$81=1,0,'Simulador 7x5'!$U$75))</f>
        <v>0</v>
      </c>
      <c r="U133" s="500"/>
      <c r="V133" s="513">
        <f>IF(B133&lt;=0,0,IF('Simulador 7x5'!$T$41=1,'Simulador 7x5'!$E$55,'Simulador 7x5'!$G$55))</f>
        <v>0</v>
      </c>
      <c r="W133" s="500"/>
      <c r="X133" s="500">
        <f t="shared" si="30"/>
        <v>0</v>
      </c>
      <c r="Y133" s="7"/>
      <c r="Z133" s="12"/>
      <c r="AA133" s="17"/>
      <c r="AB133" s="2">
        <f t="shared" si="31"/>
        <v>0</v>
      </c>
      <c r="AC133" s="21">
        <f t="shared" si="44"/>
        <v>0</v>
      </c>
      <c r="AD133" s="380">
        <f t="shared" si="39"/>
        <v>0</v>
      </c>
      <c r="AE133" s="380">
        <f t="shared" si="25"/>
        <v>0</v>
      </c>
      <c r="AF133" s="381">
        <f t="shared" si="32"/>
        <v>0</v>
      </c>
      <c r="AG133" s="380">
        <f t="shared" si="40"/>
        <v>0</v>
      </c>
      <c r="AH133" s="380">
        <f t="shared" si="41"/>
        <v>0</v>
      </c>
      <c r="AI133" s="380">
        <f>IF(AD133&lt;=0,0,AD133*IF('Simulador 7x5'!$Y$81=1,0,'Simulador 7x5'!$U$75))+IF(AD133&lt;=0,0,IF('Simulador 7x5'!$T$41=1,'Simulador 7x5'!$E$55,'Simulador 7x5'!$G$55))</f>
        <v>0</v>
      </c>
      <c r="AJ133" s="380">
        <f t="shared" si="26"/>
        <v>0</v>
      </c>
      <c r="AK133" s="109">
        <f t="shared" si="33"/>
        <v>0</v>
      </c>
      <c r="AM133" s="141">
        <v>9</v>
      </c>
      <c r="AN133" s="140">
        <v>9</v>
      </c>
      <c r="AO133" s="329">
        <f t="shared" si="34"/>
        <v>0</v>
      </c>
      <c r="AP133" s="329">
        <f t="shared" si="35"/>
        <v>0</v>
      </c>
      <c r="AQ133" s="20">
        <f t="shared" si="36"/>
        <v>0</v>
      </c>
      <c r="AR133" s="36"/>
      <c r="AS133">
        <f t="shared" si="42"/>
        <v>0</v>
      </c>
      <c r="AT133" s="384">
        <f t="shared" si="43"/>
      </c>
      <c r="AU133" s="385">
        <f t="shared" si="37"/>
        <v>0</v>
      </c>
      <c r="AV133" s="36">
        <v>117</v>
      </c>
    </row>
    <row r="134" spans="1:48" ht="12.75">
      <c r="A134" s="443">
        <v>118</v>
      </c>
      <c r="B134" s="498">
        <f t="shared" si="22"/>
        <v>0</v>
      </c>
      <c r="C134" s="499"/>
      <c r="D134" s="498">
        <f t="shared" si="23"/>
        <v>0</v>
      </c>
      <c r="E134" s="500"/>
      <c r="F134" s="500">
        <f t="shared" si="27"/>
        <v>0</v>
      </c>
      <c r="G134" s="500"/>
      <c r="H134" s="500">
        <f t="shared" si="38"/>
        <v>0</v>
      </c>
      <c r="I134" s="501"/>
      <c r="J134" s="505">
        <f>IF(B134-H134=0,0,J132)</f>
        <v>0</v>
      </c>
      <c r="K134" s="501"/>
      <c r="L134" s="502"/>
      <c r="M134" s="501"/>
      <c r="N134" s="500">
        <v>0</v>
      </c>
      <c r="O134" s="6"/>
      <c r="P134" s="457">
        <f t="shared" si="28"/>
        <v>0</v>
      </c>
      <c r="Q134" s="1"/>
      <c r="R134" s="500">
        <f t="shared" si="29"/>
        <v>0</v>
      </c>
      <c r="S134" s="500"/>
      <c r="T134" s="500">
        <f>IF(B134&lt;=0,0,B134*IF('Simulador 7x5'!$Y$81=1,0,'Simulador 7x5'!$U$75))</f>
        <v>0</v>
      </c>
      <c r="U134" s="500"/>
      <c r="V134" s="513">
        <f>IF(B134&lt;=0,0,IF('Simulador 7x5'!$T$41=1,'Simulador 7x5'!$E$55,'Simulador 7x5'!$G$55))</f>
        <v>0</v>
      </c>
      <c r="W134" s="500"/>
      <c r="X134" s="500">
        <f t="shared" si="30"/>
        <v>0</v>
      </c>
      <c r="Y134" s="7"/>
      <c r="Z134" s="12"/>
      <c r="AA134" s="17"/>
      <c r="AB134" s="2">
        <f t="shared" si="31"/>
        <v>0</v>
      </c>
      <c r="AC134" s="21">
        <f t="shared" si="44"/>
        <v>0</v>
      </c>
      <c r="AD134" s="380">
        <f t="shared" si="39"/>
        <v>0</v>
      </c>
      <c r="AE134" s="380">
        <f t="shared" si="25"/>
        <v>0</v>
      </c>
      <c r="AF134" s="381">
        <f t="shared" si="32"/>
        <v>0</v>
      </c>
      <c r="AG134" s="380">
        <f t="shared" si="40"/>
        <v>0</v>
      </c>
      <c r="AH134" s="380">
        <f t="shared" si="41"/>
        <v>0</v>
      </c>
      <c r="AI134" s="380">
        <f>IF(AD134&lt;=0,0,AD134*IF('Simulador 7x5'!$Y$81=1,0,'Simulador 7x5'!$U$75))+IF(AD134&lt;=0,0,IF('Simulador 7x5'!$T$41=1,'Simulador 7x5'!$E$55,'Simulador 7x5'!$G$55))</f>
        <v>0</v>
      </c>
      <c r="AJ134" s="380">
        <f t="shared" si="26"/>
        <v>0</v>
      </c>
      <c r="AK134" s="109">
        <f t="shared" si="33"/>
        <v>0</v>
      </c>
      <c r="AM134" s="141">
        <v>9</v>
      </c>
      <c r="AN134" s="140">
        <v>10</v>
      </c>
      <c r="AO134" s="329">
        <f t="shared" si="34"/>
        <v>0</v>
      </c>
      <c r="AP134" s="329">
        <f t="shared" si="35"/>
        <v>0</v>
      </c>
      <c r="AQ134" s="20">
        <f t="shared" si="36"/>
        <v>0</v>
      </c>
      <c r="AR134" s="36"/>
      <c r="AS134">
        <f t="shared" si="42"/>
        <v>0</v>
      </c>
      <c r="AT134" s="384">
        <f t="shared" si="43"/>
      </c>
      <c r="AU134" s="385">
        <f t="shared" si="37"/>
        <v>0</v>
      </c>
      <c r="AV134" s="36">
        <v>118</v>
      </c>
    </row>
    <row r="135" spans="1:48" ht="12.75">
      <c r="A135" s="443">
        <v>119</v>
      </c>
      <c r="B135" s="498">
        <f t="shared" si="22"/>
        <v>0</v>
      </c>
      <c r="C135" s="499"/>
      <c r="D135" s="498">
        <f t="shared" si="23"/>
        <v>0</v>
      </c>
      <c r="E135" s="500"/>
      <c r="F135" s="500">
        <f t="shared" si="27"/>
        <v>0</v>
      </c>
      <c r="G135" s="500"/>
      <c r="H135" s="500">
        <f t="shared" si="38"/>
        <v>0</v>
      </c>
      <c r="I135" s="501"/>
      <c r="J135" s="506"/>
      <c r="K135" s="501"/>
      <c r="L135" s="502"/>
      <c r="M135" s="501"/>
      <c r="N135" s="500">
        <v>0</v>
      </c>
      <c r="O135" s="6"/>
      <c r="P135" s="457">
        <f t="shared" si="28"/>
        <v>0</v>
      </c>
      <c r="Q135" s="1"/>
      <c r="R135" s="500">
        <f t="shared" si="29"/>
        <v>0</v>
      </c>
      <c r="S135" s="500"/>
      <c r="T135" s="500">
        <f>IF(B135&lt;=0,0,B135*IF('Simulador 7x5'!$Y$81=1,0,'Simulador 7x5'!$U$75))</f>
        <v>0</v>
      </c>
      <c r="U135" s="500"/>
      <c r="V135" s="513">
        <f>IF(B135&lt;=0,0,IF('Simulador 7x5'!$T$41=1,'Simulador 7x5'!$E$55,'Simulador 7x5'!$G$55))</f>
        <v>0</v>
      </c>
      <c r="W135" s="500"/>
      <c r="X135" s="500">
        <f t="shared" si="30"/>
        <v>0</v>
      </c>
      <c r="Y135" s="7"/>
      <c r="Z135" s="12"/>
      <c r="AA135" s="17"/>
      <c r="AB135" s="2">
        <f t="shared" si="31"/>
        <v>0</v>
      </c>
      <c r="AC135" s="21">
        <f t="shared" si="44"/>
        <v>0</v>
      </c>
      <c r="AD135" s="380">
        <f t="shared" si="39"/>
        <v>0</v>
      </c>
      <c r="AE135" s="380">
        <f t="shared" si="25"/>
        <v>0</v>
      </c>
      <c r="AF135" s="381">
        <f t="shared" si="32"/>
        <v>0</v>
      </c>
      <c r="AG135" s="380">
        <f t="shared" si="40"/>
        <v>0</v>
      </c>
      <c r="AH135" s="380">
        <f t="shared" si="41"/>
        <v>0</v>
      </c>
      <c r="AI135" s="380">
        <f>IF(AD135&lt;=0,0,AD135*IF('Simulador 7x5'!$Y$81=1,0,'Simulador 7x5'!$U$75))+IF(AD135&lt;=0,0,IF('Simulador 7x5'!$T$41=1,'Simulador 7x5'!$E$55,'Simulador 7x5'!$G$55))</f>
        <v>0</v>
      </c>
      <c r="AJ135" s="380">
        <f t="shared" si="26"/>
        <v>0</v>
      </c>
      <c r="AK135" s="109">
        <f t="shared" si="33"/>
        <v>0</v>
      </c>
      <c r="AM135" s="141">
        <v>9</v>
      </c>
      <c r="AN135" s="2">
        <v>11</v>
      </c>
      <c r="AO135" s="329">
        <f t="shared" si="34"/>
        <v>0</v>
      </c>
      <c r="AP135" s="329">
        <f t="shared" si="35"/>
        <v>0</v>
      </c>
      <c r="AQ135" s="20">
        <f t="shared" si="36"/>
        <v>0</v>
      </c>
      <c r="AR135" s="36"/>
      <c r="AS135">
        <f t="shared" si="42"/>
        <v>0</v>
      </c>
      <c r="AT135" s="384">
        <f t="shared" si="43"/>
      </c>
      <c r="AU135" s="385">
        <f t="shared" si="37"/>
        <v>0</v>
      </c>
      <c r="AV135" s="36">
        <v>119</v>
      </c>
    </row>
    <row r="136" spans="1:48" ht="12.75">
      <c r="A136" s="443">
        <v>120</v>
      </c>
      <c r="B136" s="498">
        <f t="shared" si="22"/>
        <v>0</v>
      </c>
      <c r="C136" s="499"/>
      <c r="D136" s="498">
        <f t="shared" si="23"/>
        <v>0</v>
      </c>
      <c r="E136" s="500"/>
      <c r="F136" s="500">
        <f t="shared" si="27"/>
        <v>0</v>
      </c>
      <c r="G136" s="500"/>
      <c r="H136" s="500">
        <f t="shared" si="38"/>
        <v>0</v>
      </c>
      <c r="I136" s="501"/>
      <c r="J136" s="505">
        <f>IF(B136-H136=0,0,J134)</f>
        <v>0</v>
      </c>
      <c r="K136" s="501"/>
      <c r="L136" s="502"/>
      <c r="M136" s="501"/>
      <c r="N136" s="500">
        <v>0</v>
      </c>
      <c r="O136" s="6"/>
      <c r="P136" s="457">
        <f t="shared" si="28"/>
        <v>0</v>
      </c>
      <c r="Q136" s="1"/>
      <c r="R136" s="500">
        <f t="shared" si="29"/>
        <v>0</v>
      </c>
      <c r="S136" s="500"/>
      <c r="T136" s="500">
        <f>IF(B136&lt;=0,0,B136*IF('Simulador 7x5'!$Y$81=1,0,'Simulador 7x5'!$U$75))</f>
        <v>0</v>
      </c>
      <c r="U136" s="500"/>
      <c r="V136" s="513">
        <f>IF(B136&lt;=0,0,IF('Simulador 7x5'!$T$41=1,'Simulador 7x5'!$E$55,'Simulador 7x5'!$G$55))</f>
        <v>0</v>
      </c>
      <c r="W136" s="500"/>
      <c r="X136" s="500">
        <f t="shared" si="30"/>
        <v>0</v>
      </c>
      <c r="Y136" s="7"/>
      <c r="Z136" s="12"/>
      <c r="AA136" s="17"/>
      <c r="AB136" s="2">
        <f t="shared" si="31"/>
        <v>0</v>
      </c>
      <c r="AC136" s="21">
        <f t="shared" si="44"/>
        <v>0</v>
      </c>
      <c r="AD136" s="380">
        <f t="shared" si="39"/>
        <v>0</v>
      </c>
      <c r="AE136" s="380">
        <f t="shared" si="25"/>
        <v>0</v>
      </c>
      <c r="AF136" s="381">
        <f t="shared" si="32"/>
        <v>0</v>
      </c>
      <c r="AG136" s="380">
        <f t="shared" si="40"/>
        <v>0</v>
      </c>
      <c r="AH136" s="380">
        <f t="shared" si="41"/>
        <v>0</v>
      </c>
      <c r="AI136" s="380">
        <f>IF(AD136&lt;=0,0,AD136*IF('Simulador 7x5'!$Y$81=1,0,'Simulador 7x5'!$U$75))+IF(AD136&lt;=0,0,IF('Simulador 7x5'!$T$41=1,'Simulador 7x5'!$E$55,'Simulador 7x5'!$G$55))</f>
        <v>0</v>
      </c>
      <c r="AJ136" s="380">
        <f t="shared" si="26"/>
        <v>0</v>
      </c>
      <c r="AK136" s="109">
        <f t="shared" si="33"/>
        <v>0</v>
      </c>
      <c r="AM136" s="141">
        <v>10</v>
      </c>
      <c r="AN136" s="2">
        <v>0</v>
      </c>
      <c r="AO136" s="329">
        <f t="shared" si="34"/>
        <v>0</v>
      </c>
      <c r="AP136" s="329">
        <f t="shared" si="35"/>
        <v>0</v>
      </c>
      <c r="AQ136" s="20">
        <f t="shared" si="36"/>
        <v>0</v>
      </c>
      <c r="AR136" s="36"/>
      <c r="AS136">
        <f t="shared" si="42"/>
        <v>0</v>
      </c>
      <c r="AT136" s="384">
        <f t="shared" si="43"/>
      </c>
      <c r="AU136" s="385">
        <f t="shared" si="37"/>
        <v>0</v>
      </c>
      <c r="AV136" s="36">
        <v>120</v>
      </c>
    </row>
    <row r="137" spans="1:48" ht="12.75">
      <c r="A137" s="443">
        <f>+A136+1</f>
        <v>121</v>
      </c>
      <c r="B137" s="498">
        <f aca="true" t="shared" si="45" ref="B137:B200">IF(R136&lt;0.01,0,IF(A137=$B$9,R136+$D$9,IF(A137=$B$10,R136+$D$10,R136)))</f>
        <v>0</v>
      </c>
      <c r="C137" s="499"/>
      <c r="D137" s="498">
        <f aca="true" t="shared" si="46" ref="D137:D200">_xlfn.IFERROR((((P137/360*AU137)/(1-(1+(P137/360*AU137))^-AS137))*B137)*(1+Z137),0)</f>
        <v>0</v>
      </c>
      <c r="E137" s="500"/>
      <c r="F137" s="500">
        <f aca="true" t="shared" si="47" ref="F137:F200">IF(B137=0,0,P137/360*AU137*B137)</f>
        <v>0</v>
      </c>
      <c r="G137" s="500"/>
      <c r="H137" s="500">
        <f aca="true" t="shared" si="48" ref="H137:H200">D137-F137</f>
        <v>0</v>
      </c>
      <c r="I137" s="501"/>
      <c r="J137" s="505">
        <f aca="true" t="shared" si="49" ref="J137:J200">IF(B137-H137=0,0,J135)</f>
        <v>0</v>
      </c>
      <c r="K137" s="501"/>
      <c r="L137" s="502"/>
      <c r="M137" s="501"/>
      <c r="N137" s="500">
        <v>0</v>
      </c>
      <c r="O137" s="6"/>
      <c r="P137" s="457">
        <f aca="true" t="shared" si="50" ref="P137:P200">IF(B137=0,0,AC137)</f>
        <v>0</v>
      </c>
      <c r="Q137" s="1"/>
      <c r="R137" s="500">
        <f aca="true" t="shared" si="51" ref="R137:R200">B137-H137-J137-L137+N137</f>
        <v>0</v>
      </c>
      <c r="S137" s="500"/>
      <c r="T137" s="500">
        <f>IF(B137&lt;=0,0,B137*IF('Simulador 7x5'!$Y$81=1,0,'Simulador 7x5'!$U$75))</f>
        <v>0</v>
      </c>
      <c r="U137" s="500"/>
      <c r="V137" s="513">
        <f>IF(B137&lt;=0,0,IF('Simulador 7x5'!$T$41=1,'Simulador 7x5'!$E$55,'Simulador 7x5'!$G$55))</f>
        <v>0</v>
      </c>
      <c r="W137" s="500"/>
      <c r="X137" s="500">
        <f aca="true" t="shared" si="52" ref="X137:X200">IF(B137&lt;=0,0,(D137+L137+T137+V137))</f>
        <v>0</v>
      </c>
      <c r="Y137" s="7"/>
      <c r="Z137" s="12"/>
      <c r="AA137" s="17"/>
      <c r="AB137" s="2">
        <f aca="true" t="shared" si="53" ref="AB137:AB200">X137</f>
        <v>0</v>
      </c>
      <c r="AC137" s="21">
        <f>IF(AD137&lt;=0.01,0,IF('Simulador 7x5'!$I$27&lt;&gt;0,MIN('Simulador 7x5'!$I$27+'Simulador 7x5'!$X$72,'Tabla 7x5'!$AD$5),'Simulador 7x5'!$AA$63))</f>
        <v>0</v>
      </c>
      <c r="AD137" s="380">
        <f aca="true" t="shared" si="54" ref="AD137:AD200">IF(AH136&lt;0.01,0,IF(A137=$B$9,AH136+$D$9,IF(A137=$B$10,AH136+$D$10,AH136)))</f>
        <v>0</v>
      </c>
      <c r="AE137" s="380">
        <f aca="true" t="shared" si="55" ref="AE137:AE200">_xlfn.IFERROR((((AC137/360*AU137)/(1-(1+(AC137/360*AU137))^-AS137)*AD137))*(1+Z137),0)</f>
        <v>0</v>
      </c>
      <c r="AF137" s="381">
        <f aca="true" t="shared" si="56" ref="AF137:AF200">_xlfn.IFERROR(AC137/360*AU137*AD137,0)</f>
        <v>0</v>
      </c>
      <c r="AG137" s="380">
        <f aca="true" t="shared" si="57" ref="AG137:AG200">+AE137-AF137</f>
        <v>0</v>
      </c>
      <c r="AH137" s="380">
        <f aca="true" t="shared" si="58" ref="AH137:AH200">+AD137-AG137</f>
        <v>0</v>
      </c>
      <c r="AI137" s="380">
        <f>IF(AD137&lt;=0,0,AD137*IF('Simulador 7x5'!$Y$81=1,0,'Simulador 7x5'!$U$75))+IF(AD137&lt;=0,0,IF('Simulador 7x5'!$T$41=1,'Simulador 7x5'!$E$55,'Simulador 7x5'!$G$55))</f>
        <v>0</v>
      </c>
      <c r="AJ137" s="380">
        <f aca="true" t="shared" si="59" ref="AJ137:AJ200">IF(AD137&lt;=0,0,AE137+AI137)</f>
        <v>0</v>
      </c>
      <c r="AK137" s="109">
        <f aca="true" t="shared" si="60" ref="AK137:AK200">_xlfn.IFERROR(AE137/AD137,0)</f>
        <v>0</v>
      </c>
      <c r="AM137" s="141">
        <v>10</v>
      </c>
      <c r="AN137" s="2">
        <v>0</v>
      </c>
      <c r="AO137" s="329">
        <f aca="true" t="shared" si="61" ref="AO137:AO200">+IF(R137&lt;=0.01,IF(R136&gt;1,+A137,0),0)</f>
        <v>0</v>
      </c>
      <c r="AP137" s="329">
        <f aca="true" t="shared" si="62" ref="AP137:AP200">+IF(AO137&gt;0,+AM137,0)</f>
        <v>0</v>
      </c>
      <c r="AQ137" s="20">
        <f aca="true" t="shared" si="63" ref="AQ137:AQ200">+IF(AO137&gt;0,+AN137,0)</f>
        <v>0</v>
      </c>
      <c r="AR137" s="36"/>
      <c r="AS137">
        <f aca="true" t="shared" si="64" ref="AS137:AS200">_xlfn.IFERROR(IF(AD137&lt;=0.01,0,AS136-1),0)</f>
        <v>0</v>
      </c>
      <c r="AT137" s="384">
        <f aca="true" t="shared" si="65" ref="AT137:AT200">IF(AK136=0,"",DATE(YEAR(AT136),MONTH(AT136)+1,1))</f>
      </c>
      <c r="AU137" s="385">
        <f aca="true" t="shared" si="66" ref="AU137:AU200">_xlfn.IFERROR(DAY(DATE(YEAR(AT137),MONTH(AT137)+1,0)),0)</f>
        <v>0</v>
      </c>
      <c r="AV137" s="36">
        <v>120</v>
      </c>
    </row>
    <row r="138" spans="1:48" ht="12.75">
      <c r="A138" s="443">
        <f aca="true" t="shared" si="67" ref="A138:A201">+A137+1</f>
        <v>122</v>
      </c>
      <c r="B138" s="498">
        <f t="shared" si="45"/>
        <v>0</v>
      </c>
      <c r="C138" s="499"/>
      <c r="D138" s="498">
        <f t="shared" si="46"/>
        <v>0</v>
      </c>
      <c r="E138" s="500"/>
      <c r="F138" s="500">
        <f t="shared" si="47"/>
        <v>0</v>
      </c>
      <c r="G138" s="500"/>
      <c r="H138" s="500">
        <f t="shared" si="48"/>
        <v>0</v>
      </c>
      <c r="I138" s="501"/>
      <c r="J138" s="505">
        <f t="shared" si="49"/>
        <v>0</v>
      </c>
      <c r="K138" s="501"/>
      <c r="L138" s="502"/>
      <c r="M138" s="501"/>
      <c r="N138" s="500">
        <v>0</v>
      </c>
      <c r="O138" s="6"/>
      <c r="P138" s="457">
        <f t="shared" si="50"/>
        <v>0</v>
      </c>
      <c r="Q138" s="1"/>
      <c r="R138" s="500">
        <f t="shared" si="51"/>
        <v>0</v>
      </c>
      <c r="S138" s="500"/>
      <c r="T138" s="500">
        <f>IF(B138&lt;=0,0,B138*IF('Simulador 7x5'!$Y$81=1,0,'Simulador 7x5'!$U$75))</f>
        <v>0</v>
      </c>
      <c r="U138" s="500"/>
      <c r="V138" s="513">
        <f>IF(B138&lt;=0,0,IF('Simulador 7x5'!$T$41=1,'Simulador 7x5'!$E$55,'Simulador 7x5'!$G$55))</f>
        <v>0</v>
      </c>
      <c r="W138" s="500"/>
      <c r="X138" s="500">
        <f t="shared" si="52"/>
        <v>0</v>
      </c>
      <c r="Y138" s="7"/>
      <c r="Z138" s="12"/>
      <c r="AA138" s="17"/>
      <c r="AB138" s="2">
        <f t="shared" si="53"/>
        <v>0</v>
      </c>
      <c r="AC138" s="21">
        <f aca="true" t="shared" si="68" ref="AC138:AC200">IF(AD138&lt;=0.01,0,AC137)</f>
        <v>0</v>
      </c>
      <c r="AD138" s="380">
        <f t="shared" si="54"/>
        <v>0</v>
      </c>
      <c r="AE138" s="380">
        <f t="shared" si="55"/>
        <v>0</v>
      </c>
      <c r="AF138" s="381">
        <f t="shared" si="56"/>
        <v>0</v>
      </c>
      <c r="AG138" s="380">
        <f t="shared" si="57"/>
        <v>0</v>
      </c>
      <c r="AH138" s="380">
        <f t="shared" si="58"/>
        <v>0</v>
      </c>
      <c r="AI138" s="380">
        <f>IF(AD138&lt;=0,0,AD138*IF('Simulador 7x5'!$Y$81=1,0,'Simulador 7x5'!$U$75))+IF(AD138&lt;=0,0,IF('Simulador 7x5'!$T$41=1,'Simulador 7x5'!$E$55,'Simulador 7x5'!$G$55))</f>
        <v>0</v>
      </c>
      <c r="AJ138" s="380">
        <f t="shared" si="59"/>
        <v>0</v>
      </c>
      <c r="AK138" s="109">
        <f t="shared" si="60"/>
        <v>0</v>
      </c>
      <c r="AM138" s="141">
        <v>10</v>
      </c>
      <c r="AN138" s="2">
        <v>0</v>
      </c>
      <c r="AO138" s="329">
        <f t="shared" si="61"/>
        <v>0</v>
      </c>
      <c r="AP138" s="329">
        <f t="shared" si="62"/>
        <v>0</v>
      </c>
      <c r="AQ138" s="20">
        <f t="shared" si="63"/>
        <v>0</v>
      </c>
      <c r="AR138" s="36"/>
      <c r="AS138">
        <f t="shared" si="64"/>
        <v>0</v>
      </c>
      <c r="AT138" s="384">
        <f t="shared" si="65"/>
      </c>
      <c r="AU138" s="385">
        <f t="shared" si="66"/>
        <v>0</v>
      </c>
      <c r="AV138" s="36">
        <v>120</v>
      </c>
    </row>
    <row r="139" spans="1:48" ht="12.75">
      <c r="A139" s="443">
        <f t="shared" si="67"/>
        <v>123</v>
      </c>
      <c r="B139" s="498">
        <f t="shared" si="45"/>
        <v>0</v>
      </c>
      <c r="C139" s="499"/>
      <c r="D139" s="498">
        <f t="shared" si="46"/>
        <v>0</v>
      </c>
      <c r="E139" s="500"/>
      <c r="F139" s="500">
        <f t="shared" si="47"/>
        <v>0</v>
      </c>
      <c r="G139" s="500"/>
      <c r="H139" s="500">
        <f t="shared" si="48"/>
        <v>0</v>
      </c>
      <c r="I139" s="501"/>
      <c r="J139" s="505">
        <f t="shared" si="49"/>
        <v>0</v>
      </c>
      <c r="K139" s="501"/>
      <c r="L139" s="502"/>
      <c r="M139" s="501"/>
      <c r="N139" s="500">
        <v>0</v>
      </c>
      <c r="O139" s="6"/>
      <c r="P139" s="457">
        <f t="shared" si="50"/>
        <v>0</v>
      </c>
      <c r="Q139" s="1"/>
      <c r="R139" s="500">
        <f t="shared" si="51"/>
        <v>0</v>
      </c>
      <c r="S139" s="500"/>
      <c r="T139" s="500">
        <f>IF(B139&lt;=0,0,B139*IF('Simulador 7x5'!$Y$81=1,0,'Simulador 7x5'!$U$75))</f>
        <v>0</v>
      </c>
      <c r="U139" s="500"/>
      <c r="V139" s="513">
        <f>IF(B139&lt;=0,0,IF('Simulador 7x5'!$T$41=1,'Simulador 7x5'!$E$55,'Simulador 7x5'!$G$55))</f>
        <v>0</v>
      </c>
      <c r="W139" s="500"/>
      <c r="X139" s="500">
        <f t="shared" si="52"/>
        <v>0</v>
      </c>
      <c r="Y139" s="7"/>
      <c r="Z139" s="12"/>
      <c r="AA139" s="17"/>
      <c r="AB139" s="2">
        <f t="shared" si="53"/>
        <v>0</v>
      </c>
      <c r="AC139" s="21">
        <f t="shared" si="68"/>
        <v>0</v>
      </c>
      <c r="AD139" s="380">
        <f t="shared" si="54"/>
        <v>0</v>
      </c>
      <c r="AE139" s="380">
        <f t="shared" si="55"/>
        <v>0</v>
      </c>
      <c r="AF139" s="381">
        <f t="shared" si="56"/>
        <v>0</v>
      </c>
      <c r="AG139" s="380">
        <f t="shared" si="57"/>
        <v>0</v>
      </c>
      <c r="AH139" s="380">
        <f t="shared" si="58"/>
        <v>0</v>
      </c>
      <c r="AI139" s="380">
        <f>IF(AD139&lt;=0,0,AD139*IF('Simulador 7x5'!$Y$81=1,0,'Simulador 7x5'!$U$75))+IF(AD139&lt;=0,0,IF('Simulador 7x5'!$T$41=1,'Simulador 7x5'!$E$55,'Simulador 7x5'!$G$55))</f>
        <v>0</v>
      </c>
      <c r="AJ139" s="380">
        <f t="shared" si="59"/>
        <v>0</v>
      </c>
      <c r="AK139" s="109">
        <f t="shared" si="60"/>
        <v>0</v>
      </c>
      <c r="AM139" s="141">
        <v>10</v>
      </c>
      <c r="AN139" s="2">
        <v>0</v>
      </c>
      <c r="AO139" s="329">
        <f t="shared" si="61"/>
        <v>0</v>
      </c>
      <c r="AP139" s="329">
        <f t="shared" si="62"/>
        <v>0</v>
      </c>
      <c r="AQ139" s="20">
        <f t="shared" si="63"/>
        <v>0</v>
      </c>
      <c r="AR139" s="36"/>
      <c r="AS139">
        <f t="shared" si="64"/>
        <v>0</v>
      </c>
      <c r="AT139" s="384">
        <f t="shared" si="65"/>
      </c>
      <c r="AU139" s="385">
        <f t="shared" si="66"/>
        <v>0</v>
      </c>
      <c r="AV139" s="36">
        <v>120</v>
      </c>
    </row>
    <row r="140" spans="1:48" ht="12.75">
      <c r="A140" s="443">
        <f t="shared" si="67"/>
        <v>124</v>
      </c>
      <c r="B140" s="498">
        <f t="shared" si="45"/>
        <v>0</v>
      </c>
      <c r="C140" s="499"/>
      <c r="D140" s="498">
        <f t="shared" si="46"/>
        <v>0</v>
      </c>
      <c r="E140" s="500"/>
      <c r="F140" s="500">
        <f t="shared" si="47"/>
        <v>0</v>
      </c>
      <c r="G140" s="500"/>
      <c r="H140" s="500">
        <f t="shared" si="48"/>
        <v>0</v>
      </c>
      <c r="I140" s="501"/>
      <c r="J140" s="505">
        <f t="shared" si="49"/>
        <v>0</v>
      </c>
      <c r="K140" s="501"/>
      <c r="L140" s="502"/>
      <c r="M140" s="501"/>
      <c r="N140" s="500">
        <v>0</v>
      </c>
      <c r="O140" s="6"/>
      <c r="P140" s="457">
        <f t="shared" si="50"/>
        <v>0</v>
      </c>
      <c r="Q140" s="1"/>
      <c r="R140" s="500">
        <f t="shared" si="51"/>
        <v>0</v>
      </c>
      <c r="S140" s="500"/>
      <c r="T140" s="500">
        <f>IF(B140&lt;=0,0,B140*IF('Simulador 7x5'!$Y$81=1,0,'Simulador 7x5'!$U$75))</f>
        <v>0</v>
      </c>
      <c r="U140" s="500"/>
      <c r="V140" s="513">
        <f>IF(B140&lt;=0,0,IF('Simulador 7x5'!$T$41=1,'Simulador 7x5'!$E$55,'Simulador 7x5'!$G$55))</f>
        <v>0</v>
      </c>
      <c r="W140" s="500"/>
      <c r="X140" s="500">
        <f t="shared" si="52"/>
        <v>0</v>
      </c>
      <c r="Y140" s="7"/>
      <c r="Z140" s="12"/>
      <c r="AA140" s="17"/>
      <c r="AB140" s="2">
        <f t="shared" si="53"/>
        <v>0</v>
      </c>
      <c r="AC140" s="21">
        <f t="shared" si="68"/>
        <v>0</v>
      </c>
      <c r="AD140" s="380">
        <f t="shared" si="54"/>
        <v>0</v>
      </c>
      <c r="AE140" s="380">
        <f t="shared" si="55"/>
        <v>0</v>
      </c>
      <c r="AF140" s="381">
        <f t="shared" si="56"/>
        <v>0</v>
      </c>
      <c r="AG140" s="380">
        <f t="shared" si="57"/>
        <v>0</v>
      </c>
      <c r="AH140" s="380">
        <f t="shared" si="58"/>
        <v>0</v>
      </c>
      <c r="AI140" s="380">
        <f>IF(AD140&lt;=0,0,AD140*IF('Simulador 7x5'!$Y$81=1,0,'Simulador 7x5'!$U$75))+IF(AD140&lt;=0,0,IF('Simulador 7x5'!$T$41=1,'Simulador 7x5'!$E$55,'Simulador 7x5'!$G$55))</f>
        <v>0</v>
      </c>
      <c r="AJ140" s="380">
        <f t="shared" si="59"/>
        <v>0</v>
      </c>
      <c r="AK140" s="109">
        <f t="shared" si="60"/>
        <v>0</v>
      </c>
      <c r="AM140" s="141">
        <v>10</v>
      </c>
      <c r="AN140" s="2">
        <v>0</v>
      </c>
      <c r="AO140" s="329">
        <f t="shared" si="61"/>
        <v>0</v>
      </c>
      <c r="AP140" s="329">
        <f t="shared" si="62"/>
        <v>0</v>
      </c>
      <c r="AQ140" s="20">
        <f t="shared" si="63"/>
        <v>0</v>
      </c>
      <c r="AR140" s="36"/>
      <c r="AS140">
        <f t="shared" si="64"/>
        <v>0</v>
      </c>
      <c r="AT140" s="384">
        <f t="shared" si="65"/>
      </c>
      <c r="AU140" s="385">
        <f t="shared" si="66"/>
        <v>0</v>
      </c>
      <c r="AV140" s="36">
        <v>120</v>
      </c>
    </row>
    <row r="141" spans="1:48" ht="12.75">
      <c r="A141" s="443">
        <f t="shared" si="67"/>
        <v>125</v>
      </c>
      <c r="B141" s="498">
        <f t="shared" si="45"/>
        <v>0</v>
      </c>
      <c r="C141" s="499"/>
      <c r="D141" s="498">
        <f t="shared" si="46"/>
        <v>0</v>
      </c>
      <c r="E141" s="500"/>
      <c r="F141" s="500">
        <f t="shared" si="47"/>
        <v>0</v>
      </c>
      <c r="G141" s="500"/>
      <c r="H141" s="500">
        <f t="shared" si="48"/>
        <v>0</v>
      </c>
      <c r="I141" s="501"/>
      <c r="J141" s="505">
        <f t="shared" si="49"/>
        <v>0</v>
      </c>
      <c r="K141" s="501"/>
      <c r="L141" s="502"/>
      <c r="M141" s="501"/>
      <c r="N141" s="500">
        <v>0</v>
      </c>
      <c r="O141" s="6"/>
      <c r="P141" s="457">
        <f t="shared" si="50"/>
        <v>0</v>
      </c>
      <c r="Q141" s="1"/>
      <c r="R141" s="500">
        <f t="shared" si="51"/>
        <v>0</v>
      </c>
      <c r="S141" s="500"/>
      <c r="T141" s="500">
        <f>IF(B141&lt;=0,0,B141*IF('Simulador 7x5'!$Y$81=1,0,'Simulador 7x5'!$U$75))</f>
        <v>0</v>
      </c>
      <c r="U141" s="500"/>
      <c r="V141" s="513">
        <f>IF(B141&lt;=0,0,IF('Simulador 7x5'!$T$41=1,'Simulador 7x5'!$E$55,'Simulador 7x5'!$G$55))</f>
        <v>0</v>
      </c>
      <c r="W141" s="500"/>
      <c r="X141" s="500">
        <f t="shared" si="52"/>
        <v>0</v>
      </c>
      <c r="Y141" s="7"/>
      <c r="Z141" s="12"/>
      <c r="AA141" s="17"/>
      <c r="AB141" s="2">
        <f t="shared" si="53"/>
        <v>0</v>
      </c>
      <c r="AC141" s="21">
        <f t="shared" si="68"/>
        <v>0</v>
      </c>
      <c r="AD141" s="380">
        <f t="shared" si="54"/>
        <v>0</v>
      </c>
      <c r="AE141" s="380">
        <f t="shared" si="55"/>
        <v>0</v>
      </c>
      <c r="AF141" s="381">
        <f t="shared" si="56"/>
        <v>0</v>
      </c>
      <c r="AG141" s="380">
        <f t="shared" si="57"/>
        <v>0</v>
      </c>
      <c r="AH141" s="380">
        <f t="shared" si="58"/>
        <v>0</v>
      </c>
      <c r="AI141" s="380">
        <f>IF(AD141&lt;=0,0,AD141*IF('Simulador 7x5'!$Y$81=1,0,'Simulador 7x5'!$U$75))+IF(AD141&lt;=0,0,IF('Simulador 7x5'!$T$41=1,'Simulador 7x5'!$E$55,'Simulador 7x5'!$G$55))</f>
        <v>0</v>
      </c>
      <c r="AJ141" s="380">
        <f t="shared" si="59"/>
        <v>0</v>
      </c>
      <c r="AK141" s="109">
        <f t="shared" si="60"/>
        <v>0</v>
      </c>
      <c r="AM141" s="141">
        <v>10</v>
      </c>
      <c r="AN141" s="2">
        <v>0</v>
      </c>
      <c r="AO141" s="329">
        <f t="shared" si="61"/>
        <v>0</v>
      </c>
      <c r="AP141" s="329">
        <f t="shared" si="62"/>
        <v>0</v>
      </c>
      <c r="AQ141" s="20">
        <f t="shared" si="63"/>
        <v>0</v>
      </c>
      <c r="AR141" s="36"/>
      <c r="AS141">
        <f t="shared" si="64"/>
        <v>0</v>
      </c>
      <c r="AT141" s="384">
        <f t="shared" si="65"/>
      </c>
      <c r="AU141" s="385">
        <f t="shared" si="66"/>
        <v>0</v>
      </c>
      <c r="AV141" s="36">
        <v>120</v>
      </c>
    </row>
    <row r="142" spans="1:48" ht="12.75">
      <c r="A142" s="443">
        <f t="shared" si="67"/>
        <v>126</v>
      </c>
      <c r="B142" s="498">
        <f t="shared" si="45"/>
        <v>0</v>
      </c>
      <c r="C142" s="499"/>
      <c r="D142" s="498">
        <f t="shared" si="46"/>
        <v>0</v>
      </c>
      <c r="E142" s="500"/>
      <c r="F142" s="500">
        <f t="shared" si="47"/>
        <v>0</v>
      </c>
      <c r="G142" s="500"/>
      <c r="H142" s="500">
        <f t="shared" si="48"/>
        <v>0</v>
      </c>
      <c r="I142" s="501"/>
      <c r="J142" s="505">
        <f t="shared" si="49"/>
        <v>0</v>
      </c>
      <c r="K142" s="501"/>
      <c r="L142" s="502"/>
      <c r="M142" s="501"/>
      <c r="N142" s="500">
        <v>0</v>
      </c>
      <c r="O142" s="6"/>
      <c r="P142" s="457">
        <f t="shared" si="50"/>
        <v>0</v>
      </c>
      <c r="Q142" s="1"/>
      <c r="R142" s="500">
        <f t="shared" si="51"/>
        <v>0</v>
      </c>
      <c r="S142" s="500"/>
      <c r="T142" s="500">
        <f>IF(B142&lt;=0,0,B142*IF('Simulador 7x5'!$Y$81=1,0,'Simulador 7x5'!$U$75))</f>
        <v>0</v>
      </c>
      <c r="U142" s="500"/>
      <c r="V142" s="513">
        <f>IF(B142&lt;=0,0,IF('Simulador 7x5'!$T$41=1,'Simulador 7x5'!$E$55,'Simulador 7x5'!$G$55))</f>
        <v>0</v>
      </c>
      <c r="W142" s="500"/>
      <c r="X142" s="500">
        <f t="shared" si="52"/>
        <v>0</v>
      </c>
      <c r="Y142" s="7"/>
      <c r="Z142" s="12"/>
      <c r="AA142" s="17"/>
      <c r="AB142" s="2">
        <f t="shared" si="53"/>
        <v>0</v>
      </c>
      <c r="AC142" s="21">
        <f t="shared" si="68"/>
        <v>0</v>
      </c>
      <c r="AD142" s="380">
        <f t="shared" si="54"/>
        <v>0</v>
      </c>
      <c r="AE142" s="380">
        <f t="shared" si="55"/>
        <v>0</v>
      </c>
      <c r="AF142" s="381">
        <f t="shared" si="56"/>
        <v>0</v>
      </c>
      <c r="AG142" s="380">
        <f t="shared" si="57"/>
        <v>0</v>
      </c>
      <c r="AH142" s="380">
        <f t="shared" si="58"/>
        <v>0</v>
      </c>
      <c r="AI142" s="380">
        <f>IF(AD142&lt;=0,0,AD142*IF('Simulador 7x5'!$Y$81=1,0,'Simulador 7x5'!$U$75))+IF(AD142&lt;=0,0,IF('Simulador 7x5'!$T$41=1,'Simulador 7x5'!$E$55,'Simulador 7x5'!$G$55))</f>
        <v>0</v>
      </c>
      <c r="AJ142" s="380">
        <f t="shared" si="59"/>
        <v>0</v>
      </c>
      <c r="AK142" s="109">
        <f t="shared" si="60"/>
        <v>0</v>
      </c>
      <c r="AM142" s="141">
        <v>10</v>
      </c>
      <c r="AN142" s="2">
        <v>0</v>
      </c>
      <c r="AO142" s="329">
        <f t="shared" si="61"/>
        <v>0</v>
      </c>
      <c r="AP142" s="329">
        <f t="shared" si="62"/>
        <v>0</v>
      </c>
      <c r="AQ142" s="20">
        <f t="shared" si="63"/>
        <v>0</v>
      </c>
      <c r="AR142" s="36"/>
      <c r="AS142">
        <f t="shared" si="64"/>
        <v>0</v>
      </c>
      <c r="AT142" s="384">
        <f t="shared" si="65"/>
      </c>
      <c r="AU142" s="385">
        <f t="shared" si="66"/>
        <v>0</v>
      </c>
      <c r="AV142" s="36">
        <v>120</v>
      </c>
    </row>
    <row r="143" spans="1:48" ht="12.75">
      <c r="A143" s="443">
        <f t="shared" si="67"/>
        <v>127</v>
      </c>
      <c r="B143" s="498">
        <f t="shared" si="45"/>
        <v>0</v>
      </c>
      <c r="C143" s="499"/>
      <c r="D143" s="498">
        <f t="shared" si="46"/>
        <v>0</v>
      </c>
      <c r="E143" s="500"/>
      <c r="F143" s="500">
        <f t="shared" si="47"/>
        <v>0</v>
      </c>
      <c r="G143" s="500"/>
      <c r="H143" s="500">
        <f t="shared" si="48"/>
        <v>0</v>
      </c>
      <c r="I143" s="501"/>
      <c r="J143" s="505">
        <f t="shared" si="49"/>
        <v>0</v>
      </c>
      <c r="K143" s="501"/>
      <c r="L143" s="502"/>
      <c r="M143" s="501"/>
      <c r="N143" s="500">
        <v>0</v>
      </c>
      <c r="O143" s="6"/>
      <c r="P143" s="457">
        <f t="shared" si="50"/>
        <v>0</v>
      </c>
      <c r="Q143" s="1"/>
      <c r="R143" s="500">
        <f t="shared" si="51"/>
        <v>0</v>
      </c>
      <c r="S143" s="500"/>
      <c r="T143" s="500">
        <f>IF(B143&lt;=0,0,B143*IF('Simulador 7x5'!$Y$81=1,0,'Simulador 7x5'!$U$75))</f>
        <v>0</v>
      </c>
      <c r="U143" s="500"/>
      <c r="V143" s="513">
        <f>IF(B143&lt;=0,0,IF('Simulador 7x5'!$T$41=1,'Simulador 7x5'!$E$55,'Simulador 7x5'!$G$55))</f>
        <v>0</v>
      </c>
      <c r="W143" s="500"/>
      <c r="X143" s="500">
        <f t="shared" si="52"/>
        <v>0</v>
      </c>
      <c r="Y143" s="7"/>
      <c r="Z143" s="12"/>
      <c r="AA143" s="17"/>
      <c r="AB143" s="2">
        <f t="shared" si="53"/>
        <v>0</v>
      </c>
      <c r="AC143" s="21">
        <f t="shared" si="68"/>
        <v>0</v>
      </c>
      <c r="AD143" s="380">
        <f t="shared" si="54"/>
        <v>0</v>
      </c>
      <c r="AE143" s="380">
        <f t="shared" si="55"/>
        <v>0</v>
      </c>
      <c r="AF143" s="381">
        <f t="shared" si="56"/>
        <v>0</v>
      </c>
      <c r="AG143" s="380">
        <f t="shared" si="57"/>
        <v>0</v>
      </c>
      <c r="AH143" s="380">
        <f t="shared" si="58"/>
        <v>0</v>
      </c>
      <c r="AI143" s="380">
        <f>IF(AD143&lt;=0,0,AD143*IF('Simulador 7x5'!$Y$81=1,0,'Simulador 7x5'!$U$75))+IF(AD143&lt;=0,0,IF('Simulador 7x5'!$T$41=1,'Simulador 7x5'!$E$55,'Simulador 7x5'!$G$55))</f>
        <v>0</v>
      </c>
      <c r="AJ143" s="380">
        <f t="shared" si="59"/>
        <v>0</v>
      </c>
      <c r="AK143" s="109">
        <f t="shared" si="60"/>
        <v>0</v>
      </c>
      <c r="AM143" s="141">
        <v>10</v>
      </c>
      <c r="AN143" s="2">
        <v>0</v>
      </c>
      <c r="AO143" s="329">
        <f t="shared" si="61"/>
        <v>0</v>
      </c>
      <c r="AP143" s="329">
        <f t="shared" si="62"/>
        <v>0</v>
      </c>
      <c r="AQ143" s="20">
        <f t="shared" si="63"/>
        <v>0</v>
      </c>
      <c r="AR143" s="36"/>
      <c r="AS143">
        <f t="shared" si="64"/>
        <v>0</v>
      </c>
      <c r="AT143" s="384">
        <f t="shared" si="65"/>
      </c>
      <c r="AU143" s="385">
        <f t="shared" si="66"/>
        <v>0</v>
      </c>
      <c r="AV143" s="36">
        <v>120</v>
      </c>
    </row>
    <row r="144" spans="1:48" ht="12.75">
      <c r="A144" s="443">
        <f t="shared" si="67"/>
        <v>128</v>
      </c>
      <c r="B144" s="498">
        <f t="shared" si="45"/>
        <v>0</v>
      </c>
      <c r="C144" s="499"/>
      <c r="D144" s="498">
        <f t="shared" si="46"/>
        <v>0</v>
      </c>
      <c r="E144" s="500"/>
      <c r="F144" s="500">
        <f t="shared" si="47"/>
        <v>0</v>
      </c>
      <c r="G144" s="500"/>
      <c r="H144" s="500">
        <f t="shared" si="48"/>
        <v>0</v>
      </c>
      <c r="I144" s="501"/>
      <c r="J144" s="505">
        <f t="shared" si="49"/>
        <v>0</v>
      </c>
      <c r="K144" s="501"/>
      <c r="L144" s="502"/>
      <c r="M144" s="501"/>
      <c r="N144" s="500">
        <v>0</v>
      </c>
      <c r="O144" s="6"/>
      <c r="P144" s="457">
        <f t="shared" si="50"/>
        <v>0</v>
      </c>
      <c r="Q144" s="1"/>
      <c r="R144" s="500">
        <f t="shared" si="51"/>
        <v>0</v>
      </c>
      <c r="S144" s="500"/>
      <c r="T144" s="500">
        <f>IF(B144&lt;=0,0,B144*IF('Simulador 7x5'!$Y$81=1,0,'Simulador 7x5'!$U$75))</f>
        <v>0</v>
      </c>
      <c r="U144" s="500"/>
      <c r="V144" s="513">
        <f>IF(B144&lt;=0,0,IF('Simulador 7x5'!$T$41=1,'Simulador 7x5'!$E$55,'Simulador 7x5'!$G$55))</f>
        <v>0</v>
      </c>
      <c r="W144" s="500"/>
      <c r="X144" s="500">
        <f t="shared" si="52"/>
        <v>0</v>
      </c>
      <c r="Y144" s="7"/>
      <c r="Z144" s="12"/>
      <c r="AA144" s="17"/>
      <c r="AB144" s="2">
        <f t="shared" si="53"/>
        <v>0</v>
      </c>
      <c r="AC144" s="21">
        <f t="shared" si="68"/>
        <v>0</v>
      </c>
      <c r="AD144" s="380">
        <f t="shared" si="54"/>
        <v>0</v>
      </c>
      <c r="AE144" s="380">
        <f t="shared" si="55"/>
        <v>0</v>
      </c>
      <c r="AF144" s="381">
        <f t="shared" si="56"/>
        <v>0</v>
      </c>
      <c r="AG144" s="380">
        <f t="shared" si="57"/>
        <v>0</v>
      </c>
      <c r="AH144" s="380">
        <f t="shared" si="58"/>
        <v>0</v>
      </c>
      <c r="AI144" s="380">
        <f>IF(AD144&lt;=0,0,AD144*IF('Simulador 7x5'!$Y$81=1,0,'Simulador 7x5'!$U$75))+IF(AD144&lt;=0,0,IF('Simulador 7x5'!$T$41=1,'Simulador 7x5'!$E$55,'Simulador 7x5'!$G$55))</f>
        <v>0</v>
      </c>
      <c r="AJ144" s="380">
        <f t="shared" si="59"/>
        <v>0</v>
      </c>
      <c r="AK144" s="109">
        <f t="shared" si="60"/>
        <v>0</v>
      </c>
      <c r="AM144" s="141">
        <v>10</v>
      </c>
      <c r="AN144" s="2">
        <v>0</v>
      </c>
      <c r="AO144" s="329">
        <f t="shared" si="61"/>
        <v>0</v>
      </c>
      <c r="AP144" s="329">
        <f t="shared" si="62"/>
        <v>0</v>
      </c>
      <c r="AQ144" s="20">
        <f t="shared" si="63"/>
        <v>0</v>
      </c>
      <c r="AR144" s="36"/>
      <c r="AS144">
        <f t="shared" si="64"/>
        <v>0</v>
      </c>
      <c r="AT144" s="384">
        <f t="shared" si="65"/>
      </c>
      <c r="AU144" s="385">
        <f t="shared" si="66"/>
        <v>0</v>
      </c>
      <c r="AV144" s="36">
        <v>120</v>
      </c>
    </row>
    <row r="145" spans="1:48" ht="12.75">
      <c r="A145" s="443">
        <f t="shared" si="67"/>
        <v>129</v>
      </c>
      <c r="B145" s="498">
        <f t="shared" si="45"/>
        <v>0</v>
      </c>
      <c r="C145" s="499"/>
      <c r="D145" s="498">
        <f t="shared" si="46"/>
        <v>0</v>
      </c>
      <c r="E145" s="500"/>
      <c r="F145" s="500">
        <f t="shared" si="47"/>
        <v>0</v>
      </c>
      <c r="G145" s="500"/>
      <c r="H145" s="500">
        <f t="shared" si="48"/>
        <v>0</v>
      </c>
      <c r="I145" s="501"/>
      <c r="J145" s="505">
        <f t="shared" si="49"/>
        <v>0</v>
      </c>
      <c r="K145" s="501"/>
      <c r="L145" s="502"/>
      <c r="M145" s="501"/>
      <c r="N145" s="500">
        <v>0</v>
      </c>
      <c r="O145" s="6"/>
      <c r="P145" s="457">
        <f t="shared" si="50"/>
        <v>0</v>
      </c>
      <c r="Q145" s="1"/>
      <c r="R145" s="500">
        <f t="shared" si="51"/>
        <v>0</v>
      </c>
      <c r="S145" s="500"/>
      <c r="T145" s="500">
        <f>IF(B145&lt;=0,0,B145*IF('Simulador 7x5'!$Y$81=1,0,'Simulador 7x5'!$U$75))</f>
        <v>0</v>
      </c>
      <c r="U145" s="500"/>
      <c r="V145" s="513">
        <f>IF(B145&lt;=0,0,IF('Simulador 7x5'!$T$41=1,'Simulador 7x5'!$E$55,'Simulador 7x5'!$G$55))</f>
        <v>0</v>
      </c>
      <c r="W145" s="500"/>
      <c r="X145" s="500">
        <f t="shared" si="52"/>
        <v>0</v>
      </c>
      <c r="Y145" s="7"/>
      <c r="Z145" s="12"/>
      <c r="AA145" s="17"/>
      <c r="AB145" s="2">
        <f t="shared" si="53"/>
        <v>0</v>
      </c>
      <c r="AC145" s="21">
        <f t="shared" si="68"/>
        <v>0</v>
      </c>
      <c r="AD145" s="380">
        <f t="shared" si="54"/>
        <v>0</v>
      </c>
      <c r="AE145" s="380">
        <f t="shared" si="55"/>
        <v>0</v>
      </c>
      <c r="AF145" s="381">
        <f t="shared" si="56"/>
        <v>0</v>
      </c>
      <c r="AG145" s="380">
        <f t="shared" si="57"/>
        <v>0</v>
      </c>
      <c r="AH145" s="380">
        <f t="shared" si="58"/>
        <v>0</v>
      </c>
      <c r="AI145" s="380">
        <f>IF(AD145&lt;=0,0,AD145*IF('Simulador 7x5'!$Y$81=1,0,'Simulador 7x5'!$U$75))+IF(AD145&lt;=0,0,IF('Simulador 7x5'!$T$41=1,'Simulador 7x5'!$E$55,'Simulador 7x5'!$G$55))</f>
        <v>0</v>
      </c>
      <c r="AJ145" s="380">
        <f t="shared" si="59"/>
        <v>0</v>
      </c>
      <c r="AK145" s="109">
        <f t="shared" si="60"/>
        <v>0</v>
      </c>
      <c r="AM145" s="141">
        <v>10</v>
      </c>
      <c r="AN145" s="2">
        <v>0</v>
      </c>
      <c r="AO145" s="329">
        <f t="shared" si="61"/>
        <v>0</v>
      </c>
      <c r="AP145" s="329">
        <f t="shared" si="62"/>
        <v>0</v>
      </c>
      <c r="AQ145" s="20">
        <f t="shared" si="63"/>
        <v>0</v>
      </c>
      <c r="AR145" s="36"/>
      <c r="AS145">
        <f t="shared" si="64"/>
        <v>0</v>
      </c>
      <c r="AT145" s="384">
        <f t="shared" si="65"/>
      </c>
      <c r="AU145" s="385">
        <f t="shared" si="66"/>
        <v>0</v>
      </c>
      <c r="AV145" s="36">
        <v>120</v>
      </c>
    </row>
    <row r="146" spans="1:48" ht="12.75">
      <c r="A146" s="443">
        <f t="shared" si="67"/>
        <v>130</v>
      </c>
      <c r="B146" s="498">
        <f t="shared" si="45"/>
        <v>0</v>
      </c>
      <c r="C146" s="499"/>
      <c r="D146" s="498">
        <f t="shared" si="46"/>
        <v>0</v>
      </c>
      <c r="E146" s="500"/>
      <c r="F146" s="500">
        <f t="shared" si="47"/>
        <v>0</v>
      </c>
      <c r="G146" s="500"/>
      <c r="H146" s="500">
        <f t="shared" si="48"/>
        <v>0</v>
      </c>
      <c r="I146" s="501"/>
      <c r="J146" s="505">
        <f t="shared" si="49"/>
        <v>0</v>
      </c>
      <c r="K146" s="501"/>
      <c r="L146" s="502"/>
      <c r="M146" s="501"/>
      <c r="N146" s="500">
        <v>0</v>
      </c>
      <c r="O146" s="6"/>
      <c r="P146" s="457">
        <f t="shared" si="50"/>
        <v>0</v>
      </c>
      <c r="Q146" s="1"/>
      <c r="R146" s="500">
        <f t="shared" si="51"/>
        <v>0</v>
      </c>
      <c r="S146" s="500"/>
      <c r="T146" s="500">
        <f>IF(B146&lt;=0,0,B146*IF('Simulador 7x5'!$Y$81=1,0,'Simulador 7x5'!$U$75))</f>
        <v>0</v>
      </c>
      <c r="U146" s="500"/>
      <c r="V146" s="513">
        <f>IF(B146&lt;=0,0,IF('Simulador 7x5'!$T$41=1,'Simulador 7x5'!$E$55,'Simulador 7x5'!$G$55))</f>
        <v>0</v>
      </c>
      <c r="W146" s="500"/>
      <c r="X146" s="500">
        <f t="shared" si="52"/>
        <v>0</v>
      </c>
      <c r="Y146" s="7"/>
      <c r="Z146" s="12"/>
      <c r="AA146" s="17"/>
      <c r="AB146" s="2">
        <f t="shared" si="53"/>
        <v>0</v>
      </c>
      <c r="AC146" s="21">
        <f t="shared" si="68"/>
        <v>0</v>
      </c>
      <c r="AD146" s="380">
        <f t="shared" si="54"/>
        <v>0</v>
      </c>
      <c r="AE146" s="380">
        <f t="shared" si="55"/>
        <v>0</v>
      </c>
      <c r="AF146" s="381">
        <f t="shared" si="56"/>
        <v>0</v>
      </c>
      <c r="AG146" s="380">
        <f t="shared" si="57"/>
        <v>0</v>
      </c>
      <c r="AH146" s="380">
        <f t="shared" si="58"/>
        <v>0</v>
      </c>
      <c r="AI146" s="380">
        <f>IF(AD146&lt;=0,0,AD146*IF('Simulador 7x5'!$Y$81=1,0,'Simulador 7x5'!$U$75))+IF(AD146&lt;=0,0,IF('Simulador 7x5'!$T$41=1,'Simulador 7x5'!$E$55,'Simulador 7x5'!$G$55))</f>
        <v>0</v>
      </c>
      <c r="AJ146" s="380">
        <f t="shared" si="59"/>
        <v>0</v>
      </c>
      <c r="AK146" s="109">
        <f t="shared" si="60"/>
        <v>0</v>
      </c>
      <c r="AM146" s="141">
        <v>10</v>
      </c>
      <c r="AN146" s="2">
        <v>0</v>
      </c>
      <c r="AO146" s="329">
        <f t="shared" si="61"/>
        <v>0</v>
      </c>
      <c r="AP146" s="329">
        <f t="shared" si="62"/>
        <v>0</v>
      </c>
      <c r="AQ146" s="20">
        <f t="shared" si="63"/>
        <v>0</v>
      </c>
      <c r="AR146" s="36"/>
      <c r="AS146">
        <f t="shared" si="64"/>
        <v>0</v>
      </c>
      <c r="AT146" s="384">
        <f t="shared" si="65"/>
      </c>
      <c r="AU146" s="385">
        <f t="shared" si="66"/>
        <v>0</v>
      </c>
      <c r="AV146" s="36">
        <v>120</v>
      </c>
    </row>
    <row r="147" spans="1:48" ht="12.75">
      <c r="A147" s="443">
        <f t="shared" si="67"/>
        <v>131</v>
      </c>
      <c r="B147" s="498">
        <f t="shared" si="45"/>
        <v>0</v>
      </c>
      <c r="C147" s="499"/>
      <c r="D147" s="498">
        <f t="shared" si="46"/>
        <v>0</v>
      </c>
      <c r="E147" s="500"/>
      <c r="F147" s="500">
        <f t="shared" si="47"/>
        <v>0</v>
      </c>
      <c r="G147" s="500"/>
      <c r="H147" s="500">
        <f t="shared" si="48"/>
        <v>0</v>
      </c>
      <c r="I147" s="501"/>
      <c r="J147" s="505">
        <f t="shared" si="49"/>
        <v>0</v>
      </c>
      <c r="K147" s="501"/>
      <c r="L147" s="502"/>
      <c r="M147" s="501"/>
      <c r="N147" s="500">
        <v>0</v>
      </c>
      <c r="O147" s="6"/>
      <c r="P147" s="457">
        <f t="shared" si="50"/>
        <v>0</v>
      </c>
      <c r="Q147" s="1"/>
      <c r="R147" s="500">
        <f t="shared" si="51"/>
        <v>0</v>
      </c>
      <c r="S147" s="500"/>
      <c r="T147" s="500">
        <f>IF(B147&lt;=0,0,B147*IF('Simulador 7x5'!$Y$81=1,0,'Simulador 7x5'!$U$75))</f>
        <v>0</v>
      </c>
      <c r="U147" s="500"/>
      <c r="V147" s="513">
        <f>IF(B147&lt;=0,0,IF('Simulador 7x5'!$T$41=1,'Simulador 7x5'!$E$55,'Simulador 7x5'!$G$55))</f>
        <v>0</v>
      </c>
      <c r="W147" s="500"/>
      <c r="X147" s="500">
        <f t="shared" si="52"/>
        <v>0</v>
      </c>
      <c r="Y147" s="7"/>
      <c r="Z147" s="12"/>
      <c r="AA147" s="17"/>
      <c r="AB147" s="2">
        <f t="shared" si="53"/>
        <v>0</v>
      </c>
      <c r="AC147" s="21">
        <f t="shared" si="68"/>
        <v>0</v>
      </c>
      <c r="AD147" s="380">
        <f t="shared" si="54"/>
        <v>0</v>
      </c>
      <c r="AE147" s="380">
        <f t="shared" si="55"/>
        <v>0</v>
      </c>
      <c r="AF147" s="381">
        <f t="shared" si="56"/>
        <v>0</v>
      </c>
      <c r="AG147" s="380">
        <f t="shared" si="57"/>
        <v>0</v>
      </c>
      <c r="AH147" s="380">
        <f t="shared" si="58"/>
        <v>0</v>
      </c>
      <c r="AI147" s="380">
        <f>IF(AD147&lt;=0,0,AD147*IF('Simulador 7x5'!$Y$81=1,0,'Simulador 7x5'!$U$75))+IF(AD147&lt;=0,0,IF('Simulador 7x5'!$T$41=1,'Simulador 7x5'!$E$55,'Simulador 7x5'!$G$55))</f>
        <v>0</v>
      </c>
      <c r="AJ147" s="380">
        <f t="shared" si="59"/>
        <v>0</v>
      </c>
      <c r="AK147" s="109">
        <f t="shared" si="60"/>
        <v>0</v>
      </c>
      <c r="AM147" s="141">
        <v>10</v>
      </c>
      <c r="AN147" s="2">
        <v>0</v>
      </c>
      <c r="AO147" s="329">
        <f t="shared" si="61"/>
        <v>0</v>
      </c>
      <c r="AP147" s="329">
        <f t="shared" si="62"/>
        <v>0</v>
      </c>
      <c r="AQ147" s="20">
        <f t="shared" si="63"/>
        <v>0</v>
      </c>
      <c r="AR147" s="36"/>
      <c r="AS147">
        <f t="shared" si="64"/>
        <v>0</v>
      </c>
      <c r="AT147" s="384">
        <f t="shared" si="65"/>
      </c>
      <c r="AU147" s="385">
        <f t="shared" si="66"/>
        <v>0</v>
      </c>
      <c r="AV147" s="36">
        <v>120</v>
      </c>
    </row>
    <row r="148" spans="1:48" ht="12.75">
      <c r="A148" s="443">
        <f t="shared" si="67"/>
        <v>132</v>
      </c>
      <c r="B148" s="498">
        <f t="shared" si="45"/>
        <v>0</v>
      </c>
      <c r="C148" s="499"/>
      <c r="D148" s="498">
        <f t="shared" si="46"/>
        <v>0</v>
      </c>
      <c r="E148" s="500"/>
      <c r="F148" s="500">
        <f t="shared" si="47"/>
        <v>0</v>
      </c>
      <c r="G148" s="500"/>
      <c r="H148" s="500">
        <f t="shared" si="48"/>
        <v>0</v>
      </c>
      <c r="I148" s="501"/>
      <c r="J148" s="505">
        <f t="shared" si="49"/>
        <v>0</v>
      </c>
      <c r="K148" s="501"/>
      <c r="L148" s="502"/>
      <c r="M148" s="501"/>
      <c r="N148" s="500">
        <v>0</v>
      </c>
      <c r="O148" s="6"/>
      <c r="P148" s="457">
        <f t="shared" si="50"/>
        <v>0</v>
      </c>
      <c r="Q148" s="1"/>
      <c r="R148" s="500">
        <f t="shared" si="51"/>
        <v>0</v>
      </c>
      <c r="S148" s="500"/>
      <c r="T148" s="500">
        <f>IF(B148&lt;=0,0,B148*IF('Simulador 7x5'!$Y$81=1,0,'Simulador 7x5'!$U$75))</f>
        <v>0</v>
      </c>
      <c r="U148" s="500"/>
      <c r="V148" s="513">
        <f>IF(B148&lt;=0,0,IF('Simulador 7x5'!$T$41=1,'Simulador 7x5'!$E$55,'Simulador 7x5'!$G$55))</f>
        <v>0</v>
      </c>
      <c r="W148" s="500"/>
      <c r="X148" s="500">
        <f t="shared" si="52"/>
        <v>0</v>
      </c>
      <c r="Y148" s="7"/>
      <c r="Z148" s="12"/>
      <c r="AA148" s="17"/>
      <c r="AB148" s="2">
        <f t="shared" si="53"/>
        <v>0</v>
      </c>
      <c r="AC148" s="21">
        <f t="shared" si="68"/>
        <v>0</v>
      </c>
      <c r="AD148" s="380">
        <f t="shared" si="54"/>
        <v>0</v>
      </c>
      <c r="AE148" s="380">
        <f t="shared" si="55"/>
        <v>0</v>
      </c>
      <c r="AF148" s="381">
        <f t="shared" si="56"/>
        <v>0</v>
      </c>
      <c r="AG148" s="380">
        <f t="shared" si="57"/>
        <v>0</v>
      </c>
      <c r="AH148" s="380">
        <f t="shared" si="58"/>
        <v>0</v>
      </c>
      <c r="AI148" s="380">
        <f>IF(AD148&lt;=0,0,AD148*IF('Simulador 7x5'!$Y$81=1,0,'Simulador 7x5'!$U$75))+IF(AD148&lt;=0,0,IF('Simulador 7x5'!$T$41=1,'Simulador 7x5'!$E$55,'Simulador 7x5'!$G$55))</f>
        <v>0</v>
      </c>
      <c r="AJ148" s="380">
        <f t="shared" si="59"/>
        <v>0</v>
      </c>
      <c r="AK148" s="109">
        <f t="shared" si="60"/>
        <v>0</v>
      </c>
      <c r="AM148" s="141">
        <v>11</v>
      </c>
      <c r="AN148" s="2">
        <v>0</v>
      </c>
      <c r="AO148" s="329">
        <f t="shared" si="61"/>
        <v>0</v>
      </c>
      <c r="AP148" s="329">
        <f t="shared" si="62"/>
        <v>0</v>
      </c>
      <c r="AQ148" s="20">
        <f t="shared" si="63"/>
        <v>0</v>
      </c>
      <c r="AR148" s="36"/>
      <c r="AS148">
        <f t="shared" si="64"/>
        <v>0</v>
      </c>
      <c r="AT148" s="384">
        <f t="shared" si="65"/>
      </c>
      <c r="AU148" s="385">
        <f t="shared" si="66"/>
        <v>0</v>
      </c>
      <c r="AV148" s="36">
        <v>120</v>
      </c>
    </row>
    <row r="149" spans="1:48" ht="12.75">
      <c r="A149" s="443">
        <f t="shared" si="67"/>
        <v>133</v>
      </c>
      <c r="B149" s="498">
        <f t="shared" si="45"/>
        <v>0</v>
      </c>
      <c r="C149" s="499"/>
      <c r="D149" s="498">
        <f t="shared" si="46"/>
        <v>0</v>
      </c>
      <c r="E149" s="500"/>
      <c r="F149" s="500">
        <f t="shared" si="47"/>
        <v>0</v>
      </c>
      <c r="G149" s="500"/>
      <c r="H149" s="500">
        <f t="shared" si="48"/>
        <v>0</v>
      </c>
      <c r="I149" s="501"/>
      <c r="J149" s="505">
        <f t="shared" si="49"/>
        <v>0</v>
      </c>
      <c r="K149" s="501"/>
      <c r="L149" s="502"/>
      <c r="M149" s="501"/>
      <c r="N149" s="500">
        <v>0</v>
      </c>
      <c r="O149" s="6"/>
      <c r="P149" s="457">
        <f t="shared" si="50"/>
        <v>0</v>
      </c>
      <c r="Q149" s="1"/>
      <c r="R149" s="500">
        <f t="shared" si="51"/>
        <v>0</v>
      </c>
      <c r="S149" s="500"/>
      <c r="T149" s="500">
        <f>IF(B149&lt;=0,0,B149*IF('Simulador 7x5'!$Y$81=1,0,'Simulador 7x5'!$U$75))</f>
        <v>0</v>
      </c>
      <c r="U149" s="500"/>
      <c r="V149" s="513">
        <f>IF(B149&lt;=0,0,IF('Simulador 7x5'!$T$41=1,'Simulador 7x5'!$E$55,'Simulador 7x5'!$G$55))</f>
        <v>0</v>
      </c>
      <c r="W149" s="500"/>
      <c r="X149" s="500">
        <f t="shared" si="52"/>
        <v>0</v>
      </c>
      <c r="Y149" s="7"/>
      <c r="Z149" s="12"/>
      <c r="AA149" s="17"/>
      <c r="AB149" s="2">
        <f t="shared" si="53"/>
        <v>0</v>
      </c>
      <c r="AC149" s="21">
        <f t="shared" si="68"/>
        <v>0</v>
      </c>
      <c r="AD149" s="380">
        <f t="shared" si="54"/>
        <v>0</v>
      </c>
      <c r="AE149" s="380">
        <f t="shared" si="55"/>
        <v>0</v>
      </c>
      <c r="AF149" s="381">
        <f t="shared" si="56"/>
        <v>0</v>
      </c>
      <c r="AG149" s="380">
        <f t="shared" si="57"/>
        <v>0</v>
      </c>
      <c r="AH149" s="380">
        <f t="shared" si="58"/>
        <v>0</v>
      </c>
      <c r="AI149" s="380">
        <f>IF(AD149&lt;=0,0,AD149*IF('Simulador 7x5'!$Y$81=1,0,'Simulador 7x5'!$U$75))+IF(AD149&lt;=0,0,IF('Simulador 7x5'!$T$41=1,'Simulador 7x5'!$E$55,'Simulador 7x5'!$G$55))</f>
        <v>0</v>
      </c>
      <c r="AJ149" s="380">
        <f t="shared" si="59"/>
        <v>0</v>
      </c>
      <c r="AK149" s="109">
        <f t="shared" si="60"/>
        <v>0</v>
      </c>
      <c r="AM149" s="141">
        <v>11</v>
      </c>
      <c r="AN149" s="2">
        <v>0</v>
      </c>
      <c r="AO149" s="329">
        <f t="shared" si="61"/>
        <v>0</v>
      </c>
      <c r="AP149" s="329">
        <f t="shared" si="62"/>
        <v>0</v>
      </c>
      <c r="AQ149" s="20">
        <f t="shared" si="63"/>
        <v>0</v>
      </c>
      <c r="AR149" s="36"/>
      <c r="AS149">
        <f t="shared" si="64"/>
        <v>0</v>
      </c>
      <c r="AT149" s="384">
        <f t="shared" si="65"/>
      </c>
      <c r="AU149" s="385">
        <f t="shared" si="66"/>
        <v>0</v>
      </c>
      <c r="AV149" s="36">
        <v>120</v>
      </c>
    </row>
    <row r="150" spans="1:48" ht="12.75">
      <c r="A150" s="443">
        <f t="shared" si="67"/>
        <v>134</v>
      </c>
      <c r="B150" s="498">
        <f t="shared" si="45"/>
        <v>0</v>
      </c>
      <c r="C150" s="499"/>
      <c r="D150" s="498">
        <f t="shared" si="46"/>
        <v>0</v>
      </c>
      <c r="E150" s="500"/>
      <c r="F150" s="500">
        <f t="shared" si="47"/>
        <v>0</v>
      </c>
      <c r="G150" s="500"/>
      <c r="H150" s="500">
        <f t="shared" si="48"/>
        <v>0</v>
      </c>
      <c r="I150" s="501"/>
      <c r="J150" s="505">
        <f t="shared" si="49"/>
        <v>0</v>
      </c>
      <c r="K150" s="501"/>
      <c r="L150" s="502"/>
      <c r="M150" s="501"/>
      <c r="N150" s="500">
        <v>0</v>
      </c>
      <c r="O150" s="6"/>
      <c r="P150" s="457">
        <f t="shared" si="50"/>
        <v>0</v>
      </c>
      <c r="Q150" s="1"/>
      <c r="R150" s="500">
        <f t="shared" si="51"/>
        <v>0</v>
      </c>
      <c r="S150" s="500"/>
      <c r="T150" s="500">
        <f>IF(B150&lt;=0,0,B150*IF('Simulador 7x5'!$Y$81=1,0,'Simulador 7x5'!$U$75))</f>
        <v>0</v>
      </c>
      <c r="U150" s="500"/>
      <c r="V150" s="513">
        <f>IF(B150&lt;=0,0,IF('Simulador 7x5'!$T$41=1,'Simulador 7x5'!$E$55,'Simulador 7x5'!$G$55))</f>
        <v>0</v>
      </c>
      <c r="W150" s="500"/>
      <c r="X150" s="500">
        <f t="shared" si="52"/>
        <v>0</v>
      </c>
      <c r="Y150" s="7"/>
      <c r="Z150" s="12"/>
      <c r="AA150" s="17"/>
      <c r="AB150" s="2">
        <f t="shared" si="53"/>
        <v>0</v>
      </c>
      <c r="AC150" s="21">
        <f t="shared" si="68"/>
        <v>0</v>
      </c>
      <c r="AD150" s="380">
        <f t="shared" si="54"/>
        <v>0</v>
      </c>
      <c r="AE150" s="380">
        <f t="shared" si="55"/>
        <v>0</v>
      </c>
      <c r="AF150" s="381">
        <f t="shared" si="56"/>
        <v>0</v>
      </c>
      <c r="AG150" s="380">
        <f t="shared" si="57"/>
        <v>0</v>
      </c>
      <c r="AH150" s="380">
        <f t="shared" si="58"/>
        <v>0</v>
      </c>
      <c r="AI150" s="380">
        <f>IF(AD150&lt;=0,0,AD150*IF('Simulador 7x5'!$Y$81=1,0,'Simulador 7x5'!$U$75))+IF(AD150&lt;=0,0,IF('Simulador 7x5'!$T$41=1,'Simulador 7x5'!$E$55,'Simulador 7x5'!$G$55))</f>
        <v>0</v>
      </c>
      <c r="AJ150" s="380">
        <f t="shared" si="59"/>
        <v>0</v>
      </c>
      <c r="AK150" s="109">
        <f t="shared" si="60"/>
        <v>0</v>
      </c>
      <c r="AM150" s="141">
        <v>11</v>
      </c>
      <c r="AN150" s="2">
        <v>0</v>
      </c>
      <c r="AO150" s="329">
        <f t="shared" si="61"/>
        <v>0</v>
      </c>
      <c r="AP150" s="329">
        <f t="shared" si="62"/>
        <v>0</v>
      </c>
      <c r="AQ150" s="20">
        <f t="shared" si="63"/>
        <v>0</v>
      </c>
      <c r="AR150" s="36"/>
      <c r="AS150">
        <f t="shared" si="64"/>
        <v>0</v>
      </c>
      <c r="AT150" s="384">
        <f t="shared" si="65"/>
      </c>
      <c r="AU150" s="385">
        <f t="shared" si="66"/>
        <v>0</v>
      </c>
      <c r="AV150" s="36">
        <v>120</v>
      </c>
    </row>
    <row r="151" spans="1:48" ht="12.75">
      <c r="A151" s="443">
        <f t="shared" si="67"/>
        <v>135</v>
      </c>
      <c r="B151" s="498">
        <f t="shared" si="45"/>
        <v>0</v>
      </c>
      <c r="C151" s="499"/>
      <c r="D151" s="498">
        <f t="shared" si="46"/>
        <v>0</v>
      </c>
      <c r="E151" s="500"/>
      <c r="F151" s="500">
        <f t="shared" si="47"/>
        <v>0</v>
      </c>
      <c r="G151" s="500"/>
      <c r="H151" s="500">
        <f t="shared" si="48"/>
        <v>0</v>
      </c>
      <c r="I151" s="501"/>
      <c r="J151" s="505">
        <f t="shared" si="49"/>
        <v>0</v>
      </c>
      <c r="K151" s="501"/>
      <c r="L151" s="502"/>
      <c r="M151" s="501"/>
      <c r="N151" s="500">
        <v>0</v>
      </c>
      <c r="O151" s="6"/>
      <c r="P151" s="457">
        <f t="shared" si="50"/>
        <v>0</v>
      </c>
      <c r="Q151" s="1"/>
      <c r="R151" s="500">
        <f t="shared" si="51"/>
        <v>0</v>
      </c>
      <c r="S151" s="500"/>
      <c r="T151" s="500">
        <f>IF(B151&lt;=0,0,B151*IF('Simulador 7x5'!$Y$81=1,0,'Simulador 7x5'!$U$75))</f>
        <v>0</v>
      </c>
      <c r="U151" s="500"/>
      <c r="V151" s="513">
        <f>IF(B151&lt;=0,0,IF('Simulador 7x5'!$T$41=1,'Simulador 7x5'!$E$55,'Simulador 7x5'!$G$55))</f>
        <v>0</v>
      </c>
      <c r="W151" s="500"/>
      <c r="X151" s="500">
        <f t="shared" si="52"/>
        <v>0</v>
      </c>
      <c r="Y151" s="7"/>
      <c r="Z151" s="12"/>
      <c r="AA151" s="17"/>
      <c r="AB151" s="2">
        <f t="shared" si="53"/>
        <v>0</v>
      </c>
      <c r="AC151" s="21">
        <f t="shared" si="68"/>
        <v>0</v>
      </c>
      <c r="AD151" s="380">
        <f t="shared" si="54"/>
        <v>0</v>
      </c>
      <c r="AE151" s="380">
        <f t="shared" si="55"/>
        <v>0</v>
      </c>
      <c r="AF151" s="381">
        <f t="shared" si="56"/>
        <v>0</v>
      </c>
      <c r="AG151" s="380">
        <f t="shared" si="57"/>
        <v>0</v>
      </c>
      <c r="AH151" s="380">
        <f t="shared" si="58"/>
        <v>0</v>
      </c>
      <c r="AI151" s="380">
        <f>IF(AD151&lt;=0,0,AD151*IF('Simulador 7x5'!$Y$81=1,0,'Simulador 7x5'!$U$75))+IF(AD151&lt;=0,0,IF('Simulador 7x5'!$T$41=1,'Simulador 7x5'!$E$55,'Simulador 7x5'!$G$55))</f>
        <v>0</v>
      </c>
      <c r="AJ151" s="380">
        <f t="shared" si="59"/>
        <v>0</v>
      </c>
      <c r="AK151" s="109">
        <f t="shared" si="60"/>
        <v>0</v>
      </c>
      <c r="AM151" s="141">
        <v>11</v>
      </c>
      <c r="AN151" s="2">
        <v>0</v>
      </c>
      <c r="AO151" s="329">
        <f t="shared" si="61"/>
        <v>0</v>
      </c>
      <c r="AP151" s="329">
        <f t="shared" si="62"/>
        <v>0</v>
      </c>
      <c r="AQ151" s="20">
        <f t="shared" si="63"/>
        <v>0</v>
      </c>
      <c r="AR151" s="36"/>
      <c r="AS151">
        <f t="shared" si="64"/>
        <v>0</v>
      </c>
      <c r="AT151" s="384">
        <f t="shared" si="65"/>
      </c>
      <c r="AU151" s="385">
        <f t="shared" si="66"/>
        <v>0</v>
      </c>
      <c r="AV151" s="36">
        <v>120</v>
      </c>
    </row>
    <row r="152" spans="1:48" ht="12.75">
      <c r="A152" s="443">
        <f t="shared" si="67"/>
        <v>136</v>
      </c>
      <c r="B152" s="498">
        <f t="shared" si="45"/>
        <v>0</v>
      </c>
      <c r="C152" s="499"/>
      <c r="D152" s="498">
        <f t="shared" si="46"/>
        <v>0</v>
      </c>
      <c r="E152" s="500"/>
      <c r="F152" s="500">
        <f t="shared" si="47"/>
        <v>0</v>
      </c>
      <c r="G152" s="500"/>
      <c r="H152" s="500">
        <f t="shared" si="48"/>
        <v>0</v>
      </c>
      <c r="I152" s="501"/>
      <c r="J152" s="505">
        <f t="shared" si="49"/>
        <v>0</v>
      </c>
      <c r="K152" s="501"/>
      <c r="L152" s="502"/>
      <c r="M152" s="501"/>
      <c r="N152" s="500">
        <v>0</v>
      </c>
      <c r="O152" s="6"/>
      <c r="P152" s="457">
        <f t="shared" si="50"/>
        <v>0</v>
      </c>
      <c r="Q152" s="1"/>
      <c r="R152" s="500">
        <f t="shared" si="51"/>
        <v>0</v>
      </c>
      <c r="S152" s="500"/>
      <c r="T152" s="500">
        <f>IF(B152&lt;=0,0,B152*IF('Simulador 7x5'!$Y$81=1,0,'Simulador 7x5'!$U$75))</f>
        <v>0</v>
      </c>
      <c r="U152" s="500"/>
      <c r="V152" s="513">
        <f>IF(B152&lt;=0,0,IF('Simulador 7x5'!$T$41=1,'Simulador 7x5'!$E$55,'Simulador 7x5'!$G$55))</f>
        <v>0</v>
      </c>
      <c r="W152" s="500"/>
      <c r="X152" s="500">
        <f t="shared" si="52"/>
        <v>0</v>
      </c>
      <c r="Y152" s="7"/>
      <c r="Z152" s="12"/>
      <c r="AA152" s="17"/>
      <c r="AB152" s="2">
        <f t="shared" si="53"/>
        <v>0</v>
      </c>
      <c r="AC152" s="21">
        <f t="shared" si="68"/>
        <v>0</v>
      </c>
      <c r="AD152" s="380">
        <f t="shared" si="54"/>
        <v>0</v>
      </c>
      <c r="AE152" s="380">
        <f t="shared" si="55"/>
        <v>0</v>
      </c>
      <c r="AF152" s="381">
        <f t="shared" si="56"/>
        <v>0</v>
      </c>
      <c r="AG152" s="380">
        <f t="shared" si="57"/>
        <v>0</v>
      </c>
      <c r="AH152" s="380">
        <f t="shared" si="58"/>
        <v>0</v>
      </c>
      <c r="AI152" s="380">
        <f>IF(AD152&lt;=0,0,AD152*IF('Simulador 7x5'!$Y$81=1,0,'Simulador 7x5'!$U$75))+IF(AD152&lt;=0,0,IF('Simulador 7x5'!$T$41=1,'Simulador 7x5'!$E$55,'Simulador 7x5'!$G$55))</f>
        <v>0</v>
      </c>
      <c r="AJ152" s="380">
        <f t="shared" si="59"/>
        <v>0</v>
      </c>
      <c r="AK152" s="109">
        <f t="shared" si="60"/>
        <v>0</v>
      </c>
      <c r="AM152" s="141">
        <v>11</v>
      </c>
      <c r="AN152" s="2">
        <v>0</v>
      </c>
      <c r="AO152" s="329">
        <f t="shared" si="61"/>
        <v>0</v>
      </c>
      <c r="AP152" s="329">
        <f t="shared" si="62"/>
        <v>0</v>
      </c>
      <c r="AQ152" s="20">
        <f t="shared" si="63"/>
        <v>0</v>
      </c>
      <c r="AR152" s="36"/>
      <c r="AS152">
        <f t="shared" si="64"/>
        <v>0</v>
      </c>
      <c r="AT152" s="384">
        <f t="shared" si="65"/>
      </c>
      <c r="AU152" s="385">
        <f t="shared" si="66"/>
        <v>0</v>
      </c>
      <c r="AV152" s="36">
        <v>120</v>
      </c>
    </row>
    <row r="153" spans="1:48" ht="12.75">
      <c r="A153" s="443">
        <f t="shared" si="67"/>
        <v>137</v>
      </c>
      <c r="B153" s="498">
        <f t="shared" si="45"/>
        <v>0</v>
      </c>
      <c r="C153" s="499"/>
      <c r="D153" s="498">
        <f t="shared" si="46"/>
        <v>0</v>
      </c>
      <c r="E153" s="500"/>
      <c r="F153" s="500">
        <f t="shared" si="47"/>
        <v>0</v>
      </c>
      <c r="G153" s="500"/>
      <c r="H153" s="500">
        <f t="shared" si="48"/>
        <v>0</v>
      </c>
      <c r="I153" s="501"/>
      <c r="J153" s="505">
        <f t="shared" si="49"/>
        <v>0</v>
      </c>
      <c r="K153" s="501"/>
      <c r="L153" s="502"/>
      <c r="M153" s="501"/>
      <c r="N153" s="500">
        <v>0</v>
      </c>
      <c r="O153" s="6"/>
      <c r="P153" s="457">
        <f t="shared" si="50"/>
        <v>0</v>
      </c>
      <c r="Q153" s="1"/>
      <c r="R153" s="500">
        <f t="shared" si="51"/>
        <v>0</v>
      </c>
      <c r="S153" s="500"/>
      <c r="T153" s="500">
        <f>IF(B153&lt;=0,0,B153*IF('Simulador 7x5'!$Y$81=1,0,'Simulador 7x5'!$U$75))</f>
        <v>0</v>
      </c>
      <c r="U153" s="500"/>
      <c r="V153" s="513">
        <f>IF(B153&lt;=0,0,IF('Simulador 7x5'!$T$41=1,'Simulador 7x5'!$E$55,'Simulador 7x5'!$G$55))</f>
        <v>0</v>
      </c>
      <c r="W153" s="500"/>
      <c r="X153" s="500">
        <f t="shared" si="52"/>
        <v>0</v>
      </c>
      <c r="Y153" s="7"/>
      <c r="Z153" s="12"/>
      <c r="AA153" s="17"/>
      <c r="AB153" s="2">
        <f t="shared" si="53"/>
        <v>0</v>
      </c>
      <c r="AC153" s="21">
        <f t="shared" si="68"/>
        <v>0</v>
      </c>
      <c r="AD153" s="380">
        <f t="shared" si="54"/>
        <v>0</v>
      </c>
      <c r="AE153" s="380">
        <f t="shared" si="55"/>
        <v>0</v>
      </c>
      <c r="AF153" s="381">
        <f t="shared" si="56"/>
        <v>0</v>
      </c>
      <c r="AG153" s="380">
        <f t="shared" si="57"/>
        <v>0</v>
      </c>
      <c r="AH153" s="380">
        <f t="shared" si="58"/>
        <v>0</v>
      </c>
      <c r="AI153" s="380">
        <f>IF(AD153&lt;=0,0,AD153*IF('Simulador 7x5'!$Y$81=1,0,'Simulador 7x5'!$U$75))+IF(AD153&lt;=0,0,IF('Simulador 7x5'!$T$41=1,'Simulador 7x5'!$E$55,'Simulador 7x5'!$G$55))</f>
        <v>0</v>
      </c>
      <c r="AJ153" s="380">
        <f t="shared" si="59"/>
        <v>0</v>
      </c>
      <c r="AK153" s="109">
        <f t="shared" si="60"/>
        <v>0</v>
      </c>
      <c r="AM153" s="141">
        <v>11</v>
      </c>
      <c r="AN153" s="2">
        <v>0</v>
      </c>
      <c r="AO153" s="329">
        <f t="shared" si="61"/>
        <v>0</v>
      </c>
      <c r="AP153" s="329">
        <f t="shared" si="62"/>
        <v>0</v>
      </c>
      <c r="AQ153" s="20">
        <f t="shared" si="63"/>
        <v>0</v>
      </c>
      <c r="AR153" s="36"/>
      <c r="AS153">
        <f t="shared" si="64"/>
        <v>0</v>
      </c>
      <c r="AT153" s="384">
        <f t="shared" si="65"/>
      </c>
      <c r="AU153" s="385">
        <f t="shared" si="66"/>
        <v>0</v>
      </c>
      <c r="AV153" s="36">
        <v>120</v>
      </c>
    </row>
    <row r="154" spans="1:48" ht="12.75">
      <c r="A154" s="443">
        <f t="shared" si="67"/>
        <v>138</v>
      </c>
      <c r="B154" s="498">
        <f t="shared" si="45"/>
        <v>0</v>
      </c>
      <c r="C154" s="499"/>
      <c r="D154" s="498">
        <f t="shared" si="46"/>
        <v>0</v>
      </c>
      <c r="E154" s="500"/>
      <c r="F154" s="500">
        <f t="shared" si="47"/>
        <v>0</v>
      </c>
      <c r="G154" s="500"/>
      <c r="H154" s="500">
        <f t="shared" si="48"/>
        <v>0</v>
      </c>
      <c r="I154" s="501"/>
      <c r="J154" s="505">
        <f t="shared" si="49"/>
        <v>0</v>
      </c>
      <c r="K154" s="501"/>
      <c r="L154" s="502"/>
      <c r="M154" s="501"/>
      <c r="N154" s="500">
        <v>0</v>
      </c>
      <c r="O154" s="6"/>
      <c r="P154" s="457">
        <f t="shared" si="50"/>
        <v>0</v>
      </c>
      <c r="Q154" s="1"/>
      <c r="R154" s="500">
        <f t="shared" si="51"/>
        <v>0</v>
      </c>
      <c r="S154" s="500"/>
      <c r="T154" s="500">
        <f>IF(B154&lt;=0,0,B154*IF('Simulador 7x5'!$Y$81=1,0,'Simulador 7x5'!$U$75))</f>
        <v>0</v>
      </c>
      <c r="U154" s="500"/>
      <c r="V154" s="513">
        <f>IF(B154&lt;=0,0,IF('Simulador 7x5'!$T$41=1,'Simulador 7x5'!$E$55,'Simulador 7x5'!$G$55))</f>
        <v>0</v>
      </c>
      <c r="W154" s="500"/>
      <c r="X154" s="500">
        <f t="shared" si="52"/>
        <v>0</v>
      </c>
      <c r="Y154" s="7"/>
      <c r="Z154" s="12"/>
      <c r="AA154" s="17"/>
      <c r="AB154" s="2">
        <f t="shared" si="53"/>
        <v>0</v>
      </c>
      <c r="AC154" s="21">
        <f t="shared" si="68"/>
        <v>0</v>
      </c>
      <c r="AD154" s="380">
        <f t="shared" si="54"/>
        <v>0</v>
      </c>
      <c r="AE154" s="380">
        <f t="shared" si="55"/>
        <v>0</v>
      </c>
      <c r="AF154" s="381">
        <f t="shared" si="56"/>
        <v>0</v>
      </c>
      <c r="AG154" s="380">
        <f t="shared" si="57"/>
        <v>0</v>
      </c>
      <c r="AH154" s="380">
        <f t="shared" si="58"/>
        <v>0</v>
      </c>
      <c r="AI154" s="380">
        <f>IF(AD154&lt;=0,0,AD154*IF('Simulador 7x5'!$Y$81=1,0,'Simulador 7x5'!$U$75))+IF(AD154&lt;=0,0,IF('Simulador 7x5'!$T$41=1,'Simulador 7x5'!$E$55,'Simulador 7x5'!$G$55))</f>
        <v>0</v>
      </c>
      <c r="AJ154" s="380">
        <f t="shared" si="59"/>
        <v>0</v>
      </c>
      <c r="AK154" s="109">
        <f t="shared" si="60"/>
        <v>0</v>
      </c>
      <c r="AM154" s="141">
        <v>11</v>
      </c>
      <c r="AN154" s="2">
        <v>0</v>
      </c>
      <c r="AO154" s="329">
        <f t="shared" si="61"/>
        <v>0</v>
      </c>
      <c r="AP154" s="329">
        <f t="shared" si="62"/>
        <v>0</v>
      </c>
      <c r="AQ154" s="20">
        <f t="shared" si="63"/>
        <v>0</v>
      </c>
      <c r="AR154" s="36"/>
      <c r="AS154">
        <f t="shared" si="64"/>
        <v>0</v>
      </c>
      <c r="AT154" s="384">
        <f t="shared" si="65"/>
      </c>
      <c r="AU154" s="385">
        <f t="shared" si="66"/>
        <v>0</v>
      </c>
      <c r="AV154" s="36">
        <v>120</v>
      </c>
    </row>
    <row r="155" spans="1:48" ht="12.75">
      <c r="A155" s="443">
        <f t="shared" si="67"/>
        <v>139</v>
      </c>
      <c r="B155" s="498">
        <f t="shared" si="45"/>
        <v>0</v>
      </c>
      <c r="C155" s="499"/>
      <c r="D155" s="498">
        <f t="shared" si="46"/>
        <v>0</v>
      </c>
      <c r="E155" s="500"/>
      <c r="F155" s="500">
        <f t="shared" si="47"/>
        <v>0</v>
      </c>
      <c r="G155" s="500"/>
      <c r="H155" s="500">
        <f t="shared" si="48"/>
        <v>0</v>
      </c>
      <c r="I155" s="501"/>
      <c r="J155" s="505">
        <f t="shared" si="49"/>
        <v>0</v>
      </c>
      <c r="K155" s="501"/>
      <c r="L155" s="502"/>
      <c r="M155" s="501"/>
      <c r="N155" s="500">
        <v>0</v>
      </c>
      <c r="O155" s="6"/>
      <c r="P155" s="457">
        <f t="shared" si="50"/>
        <v>0</v>
      </c>
      <c r="Q155" s="1"/>
      <c r="R155" s="500">
        <f t="shared" si="51"/>
        <v>0</v>
      </c>
      <c r="S155" s="500"/>
      <c r="T155" s="500">
        <f>IF(B155&lt;=0,0,B155*IF('Simulador 7x5'!$Y$81=1,0,'Simulador 7x5'!$U$75))</f>
        <v>0</v>
      </c>
      <c r="U155" s="500"/>
      <c r="V155" s="513">
        <f>IF(B155&lt;=0,0,IF('Simulador 7x5'!$T$41=1,'Simulador 7x5'!$E$55,'Simulador 7x5'!$G$55))</f>
        <v>0</v>
      </c>
      <c r="W155" s="500"/>
      <c r="X155" s="500">
        <f t="shared" si="52"/>
        <v>0</v>
      </c>
      <c r="Y155" s="7"/>
      <c r="Z155" s="12"/>
      <c r="AA155" s="17"/>
      <c r="AB155" s="2">
        <f t="shared" si="53"/>
        <v>0</v>
      </c>
      <c r="AC155" s="21">
        <f t="shared" si="68"/>
        <v>0</v>
      </c>
      <c r="AD155" s="380">
        <f t="shared" si="54"/>
        <v>0</v>
      </c>
      <c r="AE155" s="380">
        <f t="shared" si="55"/>
        <v>0</v>
      </c>
      <c r="AF155" s="381">
        <f t="shared" si="56"/>
        <v>0</v>
      </c>
      <c r="AG155" s="380">
        <f t="shared" si="57"/>
        <v>0</v>
      </c>
      <c r="AH155" s="380">
        <f t="shared" si="58"/>
        <v>0</v>
      </c>
      <c r="AI155" s="380">
        <f>IF(AD155&lt;=0,0,AD155*IF('Simulador 7x5'!$Y$81=1,0,'Simulador 7x5'!$U$75))+IF(AD155&lt;=0,0,IF('Simulador 7x5'!$T$41=1,'Simulador 7x5'!$E$55,'Simulador 7x5'!$G$55))</f>
        <v>0</v>
      </c>
      <c r="AJ155" s="380">
        <f t="shared" si="59"/>
        <v>0</v>
      </c>
      <c r="AK155" s="109">
        <f t="shared" si="60"/>
        <v>0</v>
      </c>
      <c r="AM155" s="141">
        <v>11</v>
      </c>
      <c r="AN155" s="2">
        <v>0</v>
      </c>
      <c r="AO155" s="329">
        <f t="shared" si="61"/>
        <v>0</v>
      </c>
      <c r="AP155" s="329">
        <f t="shared" si="62"/>
        <v>0</v>
      </c>
      <c r="AQ155" s="20">
        <f t="shared" si="63"/>
        <v>0</v>
      </c>
      <c r="AR155" s="36"/>
      <c r="AS155">
        <f t="shared" si="64"/>
        <v>0</v>
      </c>
      <c r="AT155" s="384">
        <f t="shared" si="65"/>
      </c>
      <c r="AU155" s="385">
        <f t="shared" si="66"/>
        <v>0</v>
      </c>
      <c r="AV155" s="36">
        <v>120</v>
      </c>
    </row>
    <row r="156" spans="1:48" ht="12.75">
      <c r="A156" s="443">
        <f t="shared" si="67"/>
        <v>140</v>
      </c>
      <c r="B156" s="498">
        <f t="shared" si="45"/>
        <v>0</v>
      </c>
      <c r="C156" s="499"/>
      <c r="D156" s="498">
        <f t="shared" si="46"/>
        <v>0</v>
      </c>
      <c r="E156" s="500"/>
      <c r="F156" s="500">
        <f t="shared" si="47"/>
        <v>0</v>
      </c>
      <c r="G156" s="500"/>
      <c r="H156" s="500">
        <f t="shared" si="48"/>
        <v>0</v>
      </c>
      <c r="I156" s="501"/>
      <c r="J156" s="505">
        <f t="shared" si="49"/>
        <v>0</v>
      </c>
      <c r="K156" s="501"/>
      <c r="L156" s="502"/>
      <c r="M156" s="501"/>
      <c r="N156" s="500">
        <v>0</v>
      </c>
      <c r="O156" s="6"/>
      <c r="P156" s="457">
        <f t="shared" si="50"/>
        <v>0</v>
      </c>
      <c r="Q156" s="1"/>
      <c r="R156" s="500">
        <f t="shared" si="51"/>
        <v>0</v>
      </c>
      <c r="S156" s="500"/>
      <c r="T156" s="500">
        <f>IF(B156&lt;=0,0,B156*IF('Simulador 7x5'!$Y$81=1,0,'Simulador 7x5'!$U$75))</f>
        <v>0</v>
      </c>
      <c r="U156" s="500"/>
      <c r="V156" s="513">
        <f>IF(B156&lt;=0,0,IF('Simulador 7x5'!$T$41=1,'Simulador 7x5'!$E$55,'Simulador 7x5'!$G$55))</f>
        <v>0</v>
      </c>
      <c r="W156" s="500"/>
      <c r="X156" s="500">
        <f t="shared" si="52"/>
        <v>0</v>
      </c>
      <c r="Y156" s="7"/>
      <c r="Z156" s="12"/>
      <c r="AA156" s="17"/>
      <c r="AB156" s="2">
        <f t="shared" si="53"/>
        <v>0</v>
      </c>
      <c r="AC156" s="21">
        <f t="shared" si="68"/>
        <v>0</v>
      </c>
      <c r="AD156" s="380">
        <f t="shared" si="54"/>
        <v>0</v>
      </c>
      <c r="AE156" s="380">
        <f t="shared" si="55"/>
        <v>0</v>
      </c>
      <c r="AF156" s="381">
        <f t="shared" si="56"/>
        <v>0</v>
      </c>
      <c r="AG156" s="380">
        <f t="shared" si="57"/>
        <v>0</v>
      </c>
      <c r="AH156" s="380">
        <f t="shared" si="58"/>
        <v>0</v>
      </c>
      <c r="AI156" s="380">
        <f>IF(AD156&lt;=0,0,AD156*IF('Simulador 7x5'!$Y$81=1,0,'Simulador 7x5'!$U$75))+IF(AD156&lt;=0,0,IF('Simulador 7x5'!$T$41=1,'Simulador 7x5'!$E$55,'Simulador 7x5'!$G$55))</f>
        <v>0</v>
      </c>
      <c r="AJ156" s="380">
        <f t="shared" si="59"/>
        <v>0</v>
      </c>
      <c r="AK156" s="109">
        <f t="shared" si="60"/>
        <v>0</v>
      </c>
      <c r="AM156" s="141">
        <v>11</v>
      </c>
      <c r="AN156" s="2">
        <v>0</v>
      </c>
      <c r="AO156" s="329">
        <f t="shared" si="61"/>
        <v>0</v>
      </c>
      <c r="AP156" s="329">
        <f t="shared" si="62"/>
        <v>0</v>
      </c>
      <c r="AQ156" s="20">
        <f t="shared" si="63"/>
        <v>0</v>
      </c>
      <c r="AR156" s="36"/>
      <c r="AS156">
        <f t="shared" si="64"/>
        <v>0</v>
      </c>
      <c r="AT156" s="384">
        <f t="shared" si="65"/>
      </c>
      <c r="AU156" s="385">
        <f t="shared" si="66"/>
        <v>0</v>
      </c>
      <c r="AV156" s="36">
        <v>120</v>
      </c>
    </row>
    <row r="157" spans="1:48" ht="12.75">
      <c r="A157" s="443">
        <f t="shared" si="67"/>
        <v>141</v>
      </c>
      <c r="B157" s="498">
        <f t="shared" si="45"/>
        <v>0</v>
      </c>
      <c r="C157" s="499"/>
      <c r="D157" s="498">
        <f t="shared" si="46"/>
        <v>0</v>
      </c>
      <c r="E157" s="500"/>
      <c r="F157" s="500">
        <f t="shared" si="47"/>
        <v>0</v>
      </c>
      <c r="G157" s="500"/>
      <c r="H157" s="500">
        <f t="shared" si="48"/>
        <v>0</v>
      </c>
      <c r="I157" s="501"/>
      <c r="J157" s="505">
        <f t="shared" si="49"/>
        <v>0</v>
      </c>
      <c r="K157" s="501"/>
      <c r="L157" s="502"/>
      <c r="M157" s="501"/>
      <c r="N157" s="500">
        <v>0</v>
      </c>
      <c r="O157" s="6"/>
      <c r="P157" s="457">
        <f t="shared" si="50"/>
        <v>0</v>
      </c>
      <c r="Q157" s="1"/>
      <c r="R157" s="500">
        <f t="shared" si="51"/>
        <v>0</v>
      </c>
      <c r="S157" s="500"/>
      <c r="T157" s="500">
        <f>IF(B157&lt;=0,0,B157*IF('Simulador 7x5'!$Y$81=1,0,'Simulador 7x5'!$U$75))</f>
        <v>0</v>
      </c>
      <c r="U157" s="500"/>
      <c r="V157" s="513">
        <f>IF(B157&lt;=0,0,IF('Simulador 7x5'!$T$41=1,'Simulador 7x5'!$E$55,'Simulador 7x5'!$G$55))</f>
        <v>0</v>
      </c>
      <c r="W157" s="500"/>
      <c r="X157" s="500">
        <f t="shared" si="52"/>
        <v>0</v>
      </c>
      <c r="Y157" s="7"/>
      <c r="Z157" s="12"/>
      <c r="AA157" s="17"/>
      <c r="AB157" s="2">
        <f t="shared" si="53"/>
        <v>0</v>
      </c>
      <c r="AC157" s="21">
        <f t="shared" si="68"/>
        <v>0</v>
      </c>
      <c r="AD157" s="380">
        <f t="shared" si="54"/>
        <v>0</v>
      </c>
      <c r="AE157" s="380">
        <f t="shared" si="55"/>
        <v>0</v>
      </c>
      <c r="AF157" s="381">
        <f t="shared" si="56"/>
        <v>0</v>
      </c>
      <c r="AG157" s="380">
        <f t="shared" si="57"/>
        <v>0</v>
      </c>
      <c r="AH157" s="380">
        <f t="shared" si="58"/>
        <v>0</v>
      </c>
      <c r="AI157" s="380">
        <f>IF(AD157&lt;=0,0,AD157*IF('Simulador 7x5'!$Y$81=1,0,'Simulador 7x5'!$U$75))+IF(AD157&lt;=0,0,IF('Simulador 7x5'!$T$41=1,'Simulador 7x5'!$E$55,'Simulador 7x5'!$G$55))</f>
        <v>0</v>
      </c>
      <c r="AJ157" s="380">
        <f t="shared" si="59"/>
        <v>0</v>
      </c>
      <c r="AK157" s="109">
        <f t="shared" si="60"/>
        <v>0</v>
      </c>
      <c r="AM157" s="141">
        <v>11</v>
      </c>
      <c r="AN157" s="2">
        <v>0</v>
      </c>
      <c r="AO157" s="329">
        <f t="shared" si="61"/>
        <v>0</v>
      </c>
      <c r="AP157" s="329">
        <f t="shared" si="62"/>
        <v>0</v>
      </c>
      <c r="AQ157" s="20">
        <f t="shared" si="63"/>
        <v>0</v>
      </c>
      <c r="AR157" s="36"/>
      <c r="AS157">
        <f t="shared" si="64"/>
        <v>0</v>
      </c>
      <c r="AT157" s="384">
        <f t="shared" si="65"/>
      </c>
      <c r="AU157" s="385">
        <f t="shared" si="66"/>
        <v>0</v>
      </c>
      <c r="AV157" s="36">
        <v>120</v>
      </c>
    </row>
    <row r="158" spans="1:48" ht="12.75">
      <c r="A158" s="443">
        <f t="shared" si="67"/>
        <v>142</v>
      </c>
      <c r="B158" s="498">
        <f t="shared" si="45"/>
        <v>0</v>
      </c>
      <c r="C158" s="499"/>
      <c r="D158" s="498">
        <f t="shared" si="46"/>
        <v>0</v>
      </c>
      <c r="E158" s="500"/>
      <c r="F158" s="500">
        <f t="shared" si="47"/>
        <v>0</v>
      </c>
      <c r="G158" s="500"/>
      <c r="H158" s="500">
        <f t="shared" si="48"/>
        <v>0</v>
      </c>
      <c r="I158" s="501"/>
      <c r="J158" s="505">
        <f t="shared" si="49"/>
        <v>0</v>
      </c>
      <c r="K158" s="501"/>
      <c r="L158" s="502"/>
      <c r="M158" s="501"/>
      <c r="N158" s="500">
        <v>0</v>
      </c>
      <c r="O158" s="6"/>
      <c r="P158" s="457">
        <f t="shared" si="50"/>
        <v>0</v>
      </c>
      <c r="Q158" s="1"/>
      <c r="R158" s="500">
        <f t="shared" si="51"/>
        <v>0</v>
      </c>
      <c r="S158" s="500"/>
      <c r="T158" s="500">
        <f>IF(B158&lt;=0,0,B158*IF('Simulador 7x5'!$Y$81=1,0,'Simulador 7x5'!$U$75))</f>
        <v>0</v>
      </c>
      <c r="U158" s="500"/>
      <c r="V158" s="513">
        <f>IF(B158&lt;=0,0,IF('Simulador 7x5'!$T$41=1,'Simulador 7x5'!$E$55,'Simulador 7x5'!$G$55))</f>
        <v>0</v>
      </c>
      <c r="W158" s="500"/>
      <c r="X158" s="500">
        <f t="shared" si="52"/>
        <v>0</v>
      </c>
      <c r="Y158" s="7"/>
      <c r="Z158" s="12"/>
      <c r="AA158" s="17"/>
      <c r="AB158" s="2">
        <f t="shared" si="53"/>
        <v>0</v>
      </c>
      <c r="AC158" s="21">
        <f t="shared" si="68"/>
        <v>0</v>
      </c>
      <c r="AD158" s="380">
        <f t="shared" si="54"/>
        <v>0</v>
      </c>
      <c r="AE158" s="380">
        <f t="shared" si="55"/>
        <v>0</v>
      </c>
      <c r="AF158" s="381">
        <f t="shared" si="56"/>
        <v>0</v>
      </c>
      <c r="AG158" s="380">
        <f t="shared" si="57"/>
        <v>0</v>
      </c>
      <c r="AH158" s="380">
        <f t="shared" si="58"/>
        <v>0</v>
      </c>
      <c r="AI158" s="380">
        <f>IF(AD158&lt;=0,0,AD158*IF('Simulador 7x5'!$Y$81=1,0,'Simulador 7x5'!$U$75))+IF(AD158&lt;=0,0,IF('Simulador 7x5'!$T$41=1,'Simulador 7x5'!$E$55,'Simulador 7x5'!$G$55))</f>
        <v>0</v>
      </c>
      <c r="AJ158" s="380">
        <f t="shared" si="59"/>
        <v>0</v>
      </c>
      <c r="AK158" s="109">
        <f t="shared" si="60"/>
        <v>0</v>
      </c>
      <c r="AM158" s="141">
        <v>11</v>
      </c>
      <c r="AN158" s="2">
        <v>0</v>
      </c>
      <c r="AO158" s="329">
        <f t="shared" si="61"/>
        <v>0</v>
      </c>
      <c r="AP158" s="329">
        <f t="shared" si="62"/>
        <v>0</v>
      </c>
      <c r="AQ158" s="20">
        <f t="shared" si="63"/>
        <v>0</v>
      </c>
      <c r="AR158" s="36"/>
      <c r="AS158">
        <f t="shared" si="64"/>
        <v>0</v>
      </c>
      <c r="AT158" s="384">
        <f t="shared" si="65"/>
      </c>
      <c r="AU158" s="385">
        <f t="shared" si="66"/>
        <v>0</v>
      </c>
      <c r="AV158" s="36">
        <v>120</v>
      </c>
    </row>
    <row r="159" spans="1:48" ht="12.75">
      <c r="A159" s="443">
        <f t="shared" si="67"/>
        <v>143</v>
      </c>
      <c r="B159" s="498">
        <f t="shared" si="45"/>
        <v>0</v>
      </c>
      <c r="C159" s="499"/>
      <c r="D159" s="498">
        <f t="shared" si="46"/>
        <v>0</v>
      </c>
      <c r="E159" s="500"/>
      <c r="F159" s="500">
        <f t="shared" si="47"/>
        <v>0</v>
      </c>
      <c r="G159" s="500"/>
      <c r="H159" s="500">
        <f t="shared" si="48"/>
        <v>0</v>
      </c>
      <c r="I159" s="501"/>
      <c r="J159" s="505">
        <f t="shared" si="49"/>
        <v>0</v>
      </c>
      <c r="K159" s="501"/>
      <c r="L159" s="502"/>
      <c r="M159" s="501"/>
      <c r="N159" s="500">
        <v>0</v>
      </c>
      <c r="O159" s="6"/>
      <c r="P159" s="457">
        <f t="shared" si="50"/>
        <v>0</v>
      </c>
      <c r="Q159" s="1"/>
      <c r="R159" s="500">
        <f t="shared" si="51"/>
        <v>0</v>
      </c>
      <c r="S159" s="500"/>
      <c r="T159" s="500">
        <f>IF(B159&lt;=0,0,B159*IF('Simulador 7x5'!$Y$81=1,0,'Simulador 7x5'!$U$75))</f>
        <v>0</v>
      </c>
      <c r="U159" s="500"/>
      <c r="V159" s="513">
        <f>IF(B159&lt;=0,0,IF('Simulador 7x5'!$T$41=1,'Simulador 7x5'!$E$55,'Simulador 7x5'!$G$55))</f>
        <v>0</v>
      </c>
      <c r="W159" s="500"/>
      <c r="X159" s="500">
        <f t="shared" si="52"/>
        <v>0</v>
      </c>
      <c r="Y159" s="7"/>
      <c r="Z159" s="12"/>
      <c r="AA159" s="17"/>
      <c r="AB159" s="2">
        <f t="shared" si="53"/>
        <v>0</v>
      </c>
      <c r="AC159" s="21">
        <f t="shared" si="68"/>
        <v>0</v>
      </c>
      <c r="AD159" s="380">
        <f t="shared" si="54"/>
        <v>0</v>
      </c>
      <c r="AE159" s="380">
        <f t="shared" si="55"/>
        <v>0</v>
      </c>
      <c r="AF159" s="381">
        <f t="shared" si="56"/>
        <v>0</v>
      </c>
      <c r="AG159" s="380">
        <f t="shared" si="57"/>
        <v>0</v>
      </c>
      <c r="AH159" s="380">
        <f t="shared" si="58"/>
        <v>0</v>
      </c>
      <c r="AI159" s="380">
        <f>IF(AD159&lt;=0,0,AD159*IF('Simulador 7x5'!$Y$81=1,0,'Simulador 7x5'!$U$75))+IF(AD159&lt;=0,0,IF('Simulador 7x5'!$T$41=1,'Simulador 7x5'!$E$55,'Simulador 7x5'!$G$55))</f>
        <v>0</v>
      </c>
      <c r="AJ159" s="380">
        <f t="shared" si="59"/>
        <v>0</v>
      </c>
      <c r="AK159" s="109">
        <f t="shared" si="60"/>
        <v>0</v>
      </c>
      <c r="AM159" s="141">
        <v>11</v>
      </c>
      <c r="AN159" s="2">
        <v>0</v>
      </c>
      <c r="AO159" s="329">
        <f t="shared" si="61"/>
        <v>0</v>
      </c>
      <c r="AP159" s="329">
        <f t="shared" si="62"/>
        <v>0</v>
      </c>
      <c r="AQ159" s="20">
        <f t="shared" si="63"/>
        <v>0</v>
      </c>
      <c r="AR159" s="36"/>
      <c r="AS159">
        <f t="shared" si="64"/>
        <v>0</v>
      </c>
      <c r="AT159" s="384">
        <f t="shared" si="65"/>
      </c>
      <c r="AU159" s="385">
        <f t="shared" si="66"/>
        <v>0</v>
      </c>
      <c r="AV159" s="36">
        <v>120</v>
      </c>
    </row>
    <row r="160" spans="1:48" ht="12.75">
      <c r="A160" s="443">
        <f t="shared" si="67"/>
        <v>144</v>
      </c>
      <c r="B160" s="498">
        <f t="shared" si="45"/>
        <v>0</v>
      </c>
      <c r="C160" s="499"/>
      <c r="D160" s="498">
        <f t="shared" si="46"/>
        <v>0</v>
      </c>
      <c r="E160" s="500"/>
      <c r="F160" s="500">
        <f t="shared" si="47"/>
        <v>0</v>
      </c>
      <c r="G160" s="500"/>
      <c r="H160" s="500">
        <f t="shared" si="48"/>
        <v>0</v>
      </c>
      <c r="I160" s="501"/>
      <c r="J160" s="505">
        <f t="shared" si="49"/>
        <v>0</v>
      </c>
      <c r="K160" s="501"/>
      <c r="L160" s="502"/>
      <c r="M160" s="501"/>
      <c r="N160" s="500">
        <v>0</v>
      </c>
      <c r="O160" s="6"/>
      <c r="P160" s="457">
        <f t="shared" si="50"/>
        <v>0</v>
      </c>
      <c r="Q160" s="1"/>
      <c r="R160" s="500">
        <f t="shared" si="51"/>
        <v>0</v>
      </c>
      <c r="S160" s="500"/>
      <c r="T160" s="500">
        <f>IF(B160&lt;=0,0,B160*IF('Simulador 7x5'!$Y$81=1,0,'Simulador 7x5'!$U$75))</f>
        <v>0</v>
      </c>
      <c r="U160" s="500"/>
      <c r="V160" s="513">
        <f>IF(B160&lt;=0,0,IF('Simulador 7x5'!$T$41=1,'Simulador 7x5'!$E$55,'Simulador 7x5'!$G$55))</f>
        <v>0</v>
      </c>
      <c r="W160" s="500"/>
      <c r="X160" s="500">
        <f t="shared" si="52"/>
        <v>0</v>
      </c>
      <c r="Y160" s="7"/>
      <c r="Z160" s="12"/>
      <c r="AA160" s="17"/>
      <c r="AB160" s="2">
        <f t="shared" si="53"/>
        <v>0</v>
      </c>
      <c r="AC160" s="21">
        <f t="shared" si="68"/>
        <v>0</v>
      </c>
      <c r="AD160" s="380">
        <f t="shared" si="54"/>
        <v>0</v>
      </c>
      <c r="AE160" s="380">
        <f t="shared" si="55"/>
        <v>0</v>
      </c>
      <c r="AF160" s="381">
        <f t="shared" si="56"/>
        <v>0</v>
      </c>
      <c r="AG160" s="380">
        <f t="shared" si="57"/>
        <v>0</v>
      </c>
      <c r="AH160" s="380">
        <f t="shared" si="58"/>
        <v>0</v>
      </c>
      <c r="AI160" s="380">
        <f>IF(AD160&lt;=0,0,AD160*IF('Simulador 7x5'!$Y$81=1,0,'Simulador 7x5'!$U$75))+IF(AD160&lt;=0,0,IF('Simulador 7x5'!$T$41=1,'Simulador 7x5'!$E$55,'Simulador 7x5'!$G$55))</f>
        <v>0</v>
      </c>
      <c r="AJ160" s="380">
        <f t="shared" si="59"/>
        <v>0</v>
      </c>
      <c r="AK160" s="109">
        <f t="shared" si="60"/>
        <v>0</v>
      </c>
      <c r="AM160" s="141">
        <v>12</v>
      </c>
      <c r="AN160" s="2">
        <v>0</v>
      </c>
      <c r="AO160" s="329">
        <f t="shared" si="61"/>
        <v>0</v>
      </c>
      <c r="AP160" s="329">
        <f t="shared" si="62"/>
        <v>0</v>
      </c>
      <c r="AQ160" s="20">
        <f t="shared" si="63"/>
        <v>0</v>
      </c>
      <c r="AR160" s="36"/>
      <c r="AS160">
        <f t="shared" si="64"/>
        <v>0</v>
      </c>
      <c r="AT160" s="384">
        <f t="shared" si="65"/>
      </c>
      <c r="AU160" s="385">
        <f t="shared" si="66"/>
        <v>0</v>
      </c>
      <c r="AV160" s="36">
        <v>120</v>
      </c>
    </row>
    <row r="161" spans="1:48" ht="12.75">
      <c r="A161" s="443">
        <f t="shared" si="67"/>
        <v>145</v>
      </c>
      <c r="B161" s="498">
        <f t="shared" si="45"/>
        <v>0</v>
      </c>
      <c r="C161" s="499"/>
      <c r="D161" s="498">
        <f t="shared" si="46"/>
        <v>0</v>
      </c>
      <c r="E161" s="500"/>
      <c r="F161" s="500">
        <f t="shared" si="47"/>
        <v>0</v>
      </c>
      <c r="G161" s="500"/>
      <c r="H161" s="500">
        <f t="shared" si="48"/>
        <v>0</v>
      </c>
      <c r="I161" s="501"/>
      <c r="J161" s="505">
        <f t="shared" si="49"/>
        <v>0</v>
      </c>
      <c r="K161" s="501"/>
      <c r="L161" s="502"/>
      <c r="M161" s="501"/>
      <c r="N161" s="500">
        <v>0</v>
      </c>
      <c r="O161" s="6"/>
      <c r="P161" s="457">
        <f t="shared" si="50"/>
        <v>0</v>
      </c>
      <c r="Q161" s="1"/>
      <c r="R161" s="500">
        <f t="shared" si="51"/>
        <v>0</v>
      </c>
      <c r="S161" s="500"/>
      <c r="T161" s="500">
        <f>IF(B161&lt;=0,0,B161*IF('Simulador 7x5'!$Y$81=1,0,'Simulador 7x5'!$U$75))</f>
        <v>0</v>
      </c>
      <c r="U161" s="500"/>
      <c r="V161" s="513">
        <f>IF(B161&lt;=0,0,IF('Simulador 7x5'!$T$41=1,'Simulador 7x5'!$E$55,'Simulador 7x5'!$G$55))</f>
        <v>0</v>
      </c>
      <c r="W161" s="500"/>
      <c r="X161" s="500">
        <f t="shared" si="52"/>
        <v>0</v>
      </c>
      <c r="Y161" s="7"/>
      <c r="Z161" s="12"/>
      <c r="AA161" s="17"/>
      <c r="AB161" s="2">
        <f t="shared" si="53"/>
        <v>0</v>
      </c>
      <c r="AC161" s="21">
        <f t="shared" si="68"/>
        <v>0</v>
      </c>
      <c r="AD161" s="380">
        <f t="shared" si="54"/>
        <v>0</v>
      </c>
      <c r="AE161" s="380">
        <f t="shared" si="55"/>
        <v>0</v>
      </c>
      <c r="AF161" s="381">
        <f t="shared" si="56"/>
        <v>0</v>
      </c>
      <c r="AG161" s="380">
        <f t="shared" si="57"/>
        <v>0</v>
      </c>
      <c r="AH161" s="380">
        <f t="shared" si="58"/>
        <v>0</v>
      </c>
      <c r="AI161" s="380">
        <f>IF(AD161&lt;=0,0,AD161*IF('Simulador 7x5'!$Y$81=1,0,'Simulador 7x5'!$U$75))+IF(AD161&lt;=0,0,IF('Simulador 7x5'!$T$41=1,'Simulador 7x5'!$E$55,'Simulador 7x5'!$G$55))</f>
        <v>0</v>
      </c>
      <c r="AJ161" s="380">
        <f t="shared" si="59"/>
        <v>0</v>
      </c>
      <c r="AK161" s="109">
        <f t="shared" si="60"/>
        <v>0</v>
      </c>
      <c r="AM161" s="141">
        <v>12</v>
      </c>
      <c r="AN161" s="2">
        <v>0</v>
      </c>
      <c r="AO161" s="329">
        <f t="shared" si="61"/>
        <v>0</v>
      </c>
      <c r="AP161" s="329">
        <f t="shared" si="62"/>
        <v>0</v>
      </c>
      <c r="AQ161" s="20">
        <f t="shared" si="63"/>
        <v>0</v>
      </c>
      <c r="AR161" s="36"/>
      <c r="AS161">
        <f t="shared" si="64"/>
        <v>0</v>
      </c>
      <c r="AT161" s="384">
        <f t="shared" si="65"/>
      </c>
      <c r="AU161" s="385">
        <f t="shared" si="66"/>
        <v>0</v>
      </c>
      <c r="AV161" s="36">
        <v>120</v>
      </c>
    </row>
    <row r="162" spans="1:48" ht="12.75">
      <c r="A162" s="443">
        <f t="shared" si="67"/>
        <v>146</v>
      </c>
      <c r="B162" s="498">
        <f t="shared" si="45"/>
        <v>0</v>
      </c>
      <c r="C162" s="499"/>
      <c r="D162" s="498">
        <f t="shared" si="46"/>
        <v>0</v>
      </c>
      <c r="E162" s="500"/>
      <c r="F162" s="500">
        <f t="shared" si="47"/>
        <v>0</v>
      </c>
      <c r="G162" s="500"/>
      <c r="H162" s="500">
        <f t="shared" si="48"/>
        <v>0</v>
      </c>
      <c r="I162" s="501"/>
      <c r="J162" s="505">
        <f t="shared" si="49"/>
        <v>0</v>
      </c>
      <c r="K162" s="501"/>
      <c r="L162" s="502"/>
      <c r="M162" s="501"/>
      <c r="N162" s="500">
        <v>0</v>
      </c>
      <c r="O162" s="6"/>
      <c r="P162" s="457">
        <f t="shared" si="50"/>
        <v>0</v>
      </c>
      <c r="Q162" s="1"/>
      <c r="R162" s="500">
        <f t="shared" si="51"/>
        <v>0</v>
      </c>
      <c r="S162" s="500"/>
      <c r="T162" s="500">
        <f>IF(B162&lt;=0,0,B162*IF('Simulador 7x5'!$Y$81=1,0,'Simulador 7x5'!$U$75))</f>
        <v>0</v>
      </c>
      <c r="U162" s="500"/>
      <c r="V162" s="513">
        <f>IF(B162&lt;=0,0,IF('Simulador 7x5'!$T$41=1,'Simulador 7x5'!$E$55,'Simulador 7x5'!$G$55))</f>
        <v>0</v>
      </c>
      <c r="W162" s="500"/>
      <c r="X162" s="500">
        <f t="shared" si="52"/>
        <v>0</v>
      </c>
      <c r="Y162" s="7"/>
      <c r="Z162" s="12"/>
      <c r="AA162" s="17"/>
      <c r="AB162" s="2">
        <f t="shared" si="53"/>
        <v>0</v>
      </c>
      <c r="AC162" s="21">
        <f t="shared" si="68"/>
        <v>0</v>
      </c>
      <c r="AD162" s="380">
        <f t="shared" si="54"/>
        <v>0</v>
      </c>
      <c r="AE162" s="380">
        <f t="shared" si="55"/>
        <v>0</v>
      </c>
      <c r="AF162" s="381">
        <f t="shared" si="56"/>
        <v>0</v>
      </c>
      <c r="AG162" s="380">
        <f t="shared" si="57"/>
        <v>0</v>
      </c>
      <c r="AH162" s="380">
        <f t="shared" si="58"/>
        <v>0</v>
      </c>
      <c r="AI162" s="380">
        <f>IF(AD162&lt;=0,0,AD162*IF('Simulador 7x5'!$Y$81=1,0,'Simulador 7x5'!$U$75))+IF(AD162&lt;=0,0,IF('Simulador 7x5'!$T$41=1,'Simulador 7x5'!$E$55,'Simulador 7x5'!$G$55))</f>
        <v>0</v>
      </c>
      <c r="AJ162" s="380">
        <f t="shared" si="59"/>
        <v>0</v>
      </c>
      <c r="AK162" s="109">
        <f t="shared" si="60"/>
        <v>0</v>
      </c>
      <c r="AM162" s="141">
        <v>12</v>
      </c>
      <c r="AN162" s="2">
        <v>0</v>
      </c>
      <c r="AO162" s="329">
        <f t="shared" si="61"/>
        <v>0</v>
      </c>
      <c r="AP162" s="329">
        <f t="shared" si="62"/>
        <v>0</v>
      </c>
      <c r="AQ162" s="20">
        <f t="shared" si="63"/>
        <v>0</v>
      </c>
      <c r="AR162" s="36"/>
      <c r="AS162">
        <f t="shared" si="64"/>
        <v>0</v>
      </c>
      <c r="AT162" s="384">
        <f t="shared" si="65"/>
      </c>
      <c r="AU162" s="385">
        <f t="shared" si="66"/>
        <v>0</v>
      </c>
      <c r="AV162" s="36">
        <v>120</v>
      </c>
    </row>
    <row r="163" spans="1:48" ht="12.75">
      <c r="A163" s="443">
        <f t="shared" si="67"/>
        <v>147</v>
      </c>
      <c r="B163" s="498">
        <f t="shared" si="45"/>
        <v>0</v>
      </c>
      <c r="C163" s="499"/>
      <c r="D163" s="498">
        <f t="shared" si="46"/>
        <v>0</v>
      </c>
      <c r="E163" s="500"/>
      <c r="F163" s="500">
        <f t="shared" si="47"/>
        <v>0</v>
      </c>
      <c r="G163" s="500"/>
      <c r="H163" s="500">
        <f t="shared" si="48"/>
        <v>0</v>
      </c>
      <c r="I163" s="501"/>
      <c r="J163" s="505">
        <f t="shared" si="49"/>
        <v>0</v>
      </c>
      <c r="K163" s="501"/>
      <c r="L163" s="502"/>
      <c r="M163" s="501"/>
      <c r="N163" s="500">
        <v>0</v>
      </c>
      <c r="O163" s="6"/>
      <c r="P163" s="457">
        <f t="shared" si="50"/>
        <v>0</v>
      </c>
      <c r="Q163" s="1"/>
      <c r="R163" s="500">
        <f t="shared" si="51"/>
        <v>0</v>
      </c>
      <c r="S163" s="500"/>
      <c r="T163" s="500">
        <f>IF(B163&lt;=0,0,B163*IF('Simulador 7x5'!$Y$81=1,0,'Simulador 7x5'!$U$75))</f>
        <v>0</v>
      </c>
      <c r="U163" s="500"/>
      <c r="V163" s="513">
        <f>IF(B163&lt;=0,0,IF('Simulador 7x5'!$T$41=1,'Simulador 7x5'!$E$55,'Simulador 7x5'!$G$55))</f>
        <v>0</v>
      </c>
      <c r="W163" s="500"/>
      <c r="X163" s="500">
        <f t="shared" si="52"/>
        <v>0</v>
      </c>
      <c r="Y163" s="7"/>
      <c r="Z163" s="12"/>
      <c r="AA163" s="17"/>
      <c r="AB163" s="2">
        <f t="shared" si="53"/>
        <v>0</v>
      </c>
      <c r="AC163" s="21">
        <f t="shared" si="68"/>
        <v>0</v>
      </c>
      <c r="AD163" s="380">
        <f t="shared" si="54"/>
        <v>0</v>
      </c>
      <c r="AE163" s="380">
        <f t="shared" si="55"/>
        <v>0</v>
      </c>
      <c r="AF163" s="381">
        <f t="shared" si="56"/>
        <v>0</v>
      </c>
      <c r="AG163" s="380">
        <f t="shared" si="57"/>
        <v>0</v>
      </c>
      <c r="AH163" s="380">
        <f t="shared" si="58"/>
        <v>0</v>
      </c>
      <c r="AI163" s="380">
        <f>IF(AD163&lt;=0,0,AD163*IF('Simulador 7x5'!$Y$81=1,0,'Simulador 7x5'!$U$75))+IF(AD163&lt;=0,0,IF('Simulador 7x5'!$T$41=1,'Simulador 7x5'!$E$55,'Simulador 7x5'!$G$55))</f>
        <v>0</v>
      </c>
      <c r="AJ163" s="380">
        <f t="shared" si="59"/>
        <v>0</v>
      </c>
      <c r="AK163" s="109">
        <f t="shared" si="60"/>
        <v>0</v>
      </c>
      <c r="AM163" s="141">
        <v>12</v>
      </c>
      <c r="AN163" s="2">
        <v>0</v>
      </c>
      <c r="AO163" s="329">
        <f t="shared" si="61"/>
        <v>0</v>
      </c>
      <c r="AP163" s="329">
        <f t="shared" si="62"/>
        <v>0</v>
      </c>
      <c r="AQ163" s="20">
        <f t="shared" si="63"/>
        <v>0</v>
      </c>
      <c r="AR163" s="36"/>
      <c r="AS163">
        <f t="shared" si="64"/>
        <v>0</v>
      </c>
      <c r="AT163" s="384">
        <f t="shared" si="65"/>
      </c>
      <c r="AU163" s="385">
        <f t="shared" si="66"/>
        <v>0</v>
      </c>
      <c r="AV163" s="36">
        <v>120</v>
      </c>
    </row>
    <row r="164" spans="1:48" ht="12.75">
      <c r="A164" s="443">
        <f t="shared" si="67"/>
        <v>148</v>
      </c>
      <c r="B164" s="498">
        <f t="shared" si="45"/>
        <v>0</v>
      </c>
      <c r="C164" s="499"/>
      <c r="D164" s="498">
        <f t="shared" si="46"/>
        <v>0</v>
      </c>
      <c r="E164" s="500"/>
      <c r="F164" s="500">
        <f t="shared" si="47"/>
        <v>0</v>
      </c>
      <c r="G164" s="500"/>
      <c r="H164" s="500">
        <f t="shared" si="48"/>
        <v>0</v>
      </c>
      <c r="I164" s="501"/>
      <c r="J164" s="505">
        <f t="shared" si="49"/>
        <v>0</v>
      </c>
      <c r="K164" s="501"/>
      <c r="L164" s="502"/>
      <c r="M164" s="501"/>
      <c r="N164" s="500">
        <v>0</v>
      </c>
      <c r="O164" s="6"/>
      <c r="P164" s="457">
        <f t="shared" si="50"/>
        <v>0</v>
      </c>
      <c r="Q164" s="1"/>
      <c r="R164" s="500">
        <f t="shared" si="51"/>
        <v>0</v>
      </c>
      <c r="S164" s="500"/>
      <c r="T164" s="500">
        <f>IF(B164&lt;=0,0,B164*IF('Simulador 7x5'!$Y$81=1,0,'Simulador 7x5'!$U$75))</f>
        <v>0</v>
      </c>
      <c r="U164" s="500"/>
      <c r="V164" s="513">
        <f>IF(B164&lt;=0,0,IF('Simulador 7x5'!$T$41=1,'Simulador 7x5'!$E$55,'Simulador 7x5'!$G$55))</f>
        <v>0</v>
      </c>
      <c r="W164" s="500"/>
      <c r="X164" s="500">
        <f t="shared" si="52"/>
        <v>0</v>
      </c>
      <c r="Y164" s="7"/>
      <c r="Z164" s="12"/>
      <c r="AA164" s="17"/>
      <c r="AB164" s="2">
        <f t="shared" si="53"/>
        <v>0</v>
      </c>
      <c r="AC164" s="21">
        <f t="shared" si="68"/>
        <v>0</v>
      </c>
      <c r="AD164" s="380">
        <f t="shared" si="54"/>
        <v>0</v>
      </c>
      <c r="AE164" s="380">
        <f t="shared" si="55"/>
        <v>0</v>
      </c>
      <c r="AF164" s="381">
        <f t="shared" si="56"/>
        <v>0</v>
      </c>
      <c r="AG164" s="380">
        <f t="shared" si="57"/>
        <v>0</v>
      </c>
      <c r="AH164" s="380">
        <f t="shared" si="58"/>
        <v>0</v>
      </c>
      <c r="AI164" s="380">
        <f>IF(AD164&lt;=0,0,AD164*IF('Simulador 7x5'!$Y$81=1,0,'Simulador 7x5'!$U$75))+IF(AD164&lt;=0,0,IF('Simulador 7x5'!$T$41=1,'Simulador 7x5'!$E$55,'Simulador 7x5'!$G$55))</f>
        <v>0</v>
      </c>
      <c r="AJ164" s="380">
        <f t="shared" si="59"/>
        <v>0</v>
      </c>
      <c r="AK164" s="109">
        <f t="shared" si="60"/>
        <v>0</v>
      </c>
      <c r="AM164" s="141">
        <v>12</v>
      </c>
      <c r="AN164" s="2">
        <v>0</v>
      </c>
      <c r="AO164" s="329">
        <f t="shared" si="61"/>
        <v>0</v>
      </c>
      <c r="AP164" s="329">
        <f t="shared" si="62"/>
        <v>0</v>
      </c>
      <c r="AQ164" s="20">
        <f t="shared" si="63"/>
        <v>0</v>
      </c>
      <c r="AR164" s="36"/>
      <c r="AS164">
        <f t="shared" si="64"/>
        <v>0</v>
      </c>
      <c r="AT164" s="384">
        <f t="shared" si="65"/>
      </c>
      <c r="AU164" s="385">
        <f t="shared" si="66"/>
        <v>0</v>
      </c>
      <c r="AV164" s="36">
        <v>120</v>
      </c>
    </row>
    <row r="165" spans="1:48" ht="12.75">
      <c r="A165" s="443">
        <f t="shared" si="67"/>
        <v>149</v>
      </c>
      <c r="B165" s="498">
        <f t="shared" si="45"/>
        <v>0</v>
      </c>
      <c r="C165" s="499"/>
      <c r="D165" s="498">
        <f t="shared" si="46"/>
        <v>0</v>
      </c>
      <c r="E165" s="500"/>
      <c r="F165" s="500">
        <f t="shared" si="47"/>
        <v>0</v>
      </c>
      <c r="G165" s="500"/>
      <c r="H165" s="500">
        <f t="shared" si="48"/>
        <v>0</v>
      </c>
      <c r="I165" s="501"/>
      <c r="J165" s="505">
        <f t="shared" si="49"/>
        <v>0</v>
      </c>
      <c r="K165" s="501"/>
      <c r="L165" s="502"/>
      <c r="M165" s="501"/>
      <c r="N165" s="500">
        <v>0</v>
      </c>
      <c r="O165" s="6"/>
      <c r="P165" s="457">
        <f t="shared" si="50"/>
        <v>0</v>
      </c>
      <c r="Q165" s="1"/>
      <c r="R165" s="500">
        <f t="shared" si="51"/>
        <v>0</v>
      </c>
      <c r="S165" s="500"/>
      <c r="T165" s="500">
        <f>IF(B165&lt;=0,0,B165*IF('Simulador 7x5'!$Y$81=1,0,'Simulador 7x5'!$U$75))</f>
        <v>0</v>
      </c>
      <c r="U165" s="500"/>
      <c r="V165" s="513">
        <f>IF(B165&lt;=0,0,IF('Simulador 7x5'!$T$41=1,'Simulador 7x5'!$E$55,'Simulador 7x5'!$G$55))</f>
        <v>0</v>
      </c>
      <c r="W165" s="500"/>
      <c r="X165" s="500">
        <f t="shared" si="52"/>
        <v>0</v>
      </c>
      <c r="Y165" s="7"/>
      <c r="Z165" s="12"/>
      <c r="AA165" s="17"/>
      <c r="AB165" s="2">
        <f t="shared" si="53"/>
        <v>0</v>
      </c>
      <c r="AC165" s="21">
        <f t="shared" si="68"/>
        <v>0</v>
      </c>
      <c r="AD165" s="380">
        <f t="shared" si="54"/>
        <v>0</v>
      </c>
      <c r="AE165" s="380">
        <f t="shared" si="55"/>
        <v>0</v>
      </c>
      <c r="AF165" s="381">
        <f t="shared" si="56"/>
        <v>0</v>
      </c>
      <c r="AG165" s="380">
        <f t="shared" si="57"/>
        <v>0</v>
      </c>
      <c r="AH165" s="380">
        <f t="shared" si="58"/>
        <v>0</v>
      </c>
      <c r="AI165" s="380">
        <f>IF(AD165&lt;=0,0,AD165*IF('Simulador 7x5'!$Y$81=1,0,'Simulador 7x5'!$U$75))+IF(AD165&lt;=0,0,IF('Simulador 7x5'!$T$41=1,'Simulador 7x5'!$E$55,'Simulador 7x5'!$G$55))</f>
        <v>0</v>
      </c>
      <c r="AJ165" s="380">
        <f t="shared" si="59"/>
        <v>0</v>
      </c>
      <c r="AK165" s="109">
        <f t="shared" si="60"/>
        <v>0</v>
      </c>
      <c r="AM165" s="141">
        <v>12</v>
      </c>
      <c r="AN165" s="2">
        <v>0</v>
      </c>
      <c r="AO165" s="329">
        <f t="shared" si="61"/>
        <v>0</v>
      </c>
      <c r="AP165" s="329">
        <f t="shared" si="62"/>
        <v>0</v>
      </c>
      <c r="AQ165" s="20">
        <f t="shared" si="63"/>
        <v>0</v>
      </c>
      <c r="AR165" s="36"/>
      <c r="AS165">
        <f t="shared" si="64"/>
        <v>0</v>
      </c>
      <c r="AT165" s="384">
        <f t="shared" si="65"/>
      </c>
      <c r="AU165" s="385">
        <f t="shared" si="66"/>
        <v>0</v>
      </c>
      <c r="AV165" s="36">
        <v>120</v>
      </c>
    </row>
    <row r="166" spans="1:48" ht="12.75">
      <c r="A166" s="443">
        <f t="shared" si="67"/>
        <v>150</v>
      </c>
      <c r="B166" s="498">
        <f t="shared" si="45"/>
        <v>0</v>
      </c>
      <c r="C166" s="499"/>
      <c r="D166" s="498">
        <f t="shared" si="46"/>
        <v>0</v>
      </c>
      <c r="E166" s="500"/>
      <c r="F166" s="500">
        <f t="shared" si="47"/>
        <v>0</v>
      </c>
      <c r="G166" s="500"/>
      <c r="H166" s="500">
        <f t="shared" si="48"/>
        <v>0</v>
      </c>
      <c r="I166" s="501"/>
      <c r="J166" s="505">
        <f t="shared" si="49"/>
        <v>0</v>
      </c>
      <c r="K166" s="501"/>
      <c r="L166" s="502"/>
      <c r="M166" s="501"/>
      <c r="N166" s="500">
        <v>0</v>
      </c>
      <c r="O166" s="6"/>
      <c r="P166" s="457">
        <f t="shared" si="50"/>
        <v>0</v>
      </c>
      <c r="Q166" s="1"/>
      <c r="R166" s="500">
        <f t="shared" si="51"/>
        <v>0</v>
      </c>
      <c r="S166" s="500"/>
      <c r="T166" s="500">
        <f>IF(B166&lt;=0,0,B166*IF('Simulador 7x5'!$Y$81=1,0,'Simulador 7x5'!$U$75))</f>
        <v>0</v>
      </c>
      <c r="U166" s="500"/>
      <c r="V166" s="513">
        <f>IF(B166&lt;=0,0,IF('Simulador 7x5'!$T$41=1,'Simulador 7x5'!$E$55,'Simulador 7x5'!$G$55))</f>
        <v>0</v>
      </c>
      <c r="W166" s="500"/>
      <c r="X166" s="500">
        <f t="shared" si="52"/>
        <v>0</v>
      </c>
      <c r="Y166" s="7"/>
      <c r="Z166" s="12"/>
      <c r="AA166" s="17"/>
      <c r="AB166" s="2">
        <f t="shared" si="53"/>
        <v>0</v>
      </c>
      <c r="AC166" s="21">
        <f t="shared" si="68"/>
        <v>0</v>
      </c>
      <c r="AD166" s="380">
        <f t="shared" si="54"/>
        <v>0</v>
      </c>
      <c r="AE166" s="380">
        <f t="shared" si="55"/>
        <v>0</v>
      </c>
      <c r="AF166" s="381">
        <f t="shared" si="56"/>
        <v>0</v>
      </c>
      <c r="AG166" s="380">
        <f t="shared" si="57"/>
        <v>0</v>
      </c>
      <c r="AH166" s="380">
        <f t="shared" si="58"/>
        <v>0</v>
      </c>
      <c r="AI166" s="380">
        <f>IF(AD166&lt;=0,0,AD166*IF('Simulador 7x5'!$Y$81=1,0,'Simulador 7x5'!$U$75))+IF(AD166&lt;=0,0,IF('Simulador 7x5'!$T$41=1,'Simulador 7x5'!$E$55,'Simulador 7x5'!$G$55))</f>
        <v>0</v>
      </c>
      <c r="AJ166" s="380">
        <f t="shared" si="59"/>
        <v>0</v>
      </c>
      <c r="AK166" s="109">
        <f t="shared" si="60"/>
        <v>0</v>
      </c>
      <c r="AM166" s="141">
        <v>12</v>
      </c>
      <c r="AN166" s="2">
        <v>0</v>
      </c>
      <c r="AO166" s="329">
        <f t="shared" si="61"/>
        <v>0</v>
      </c>
      <c r="AP166" s="329">
        <f t="shared" si="62"/>
        <v>0</v>
      </c>
      <c r="AQ166" s="20">
        <f t="shared" si="63"/>
        <v>0</v>
      </c>
      <c r="AR166" s="36"/>
      <c r="AS166">
        <f t="shared" si="64"/>
        <v>0</v>
      </c>
      <c r="AT166" s="384">
        <f t="shared" si="65"/>
      </c>
      <c r="AU166" s="385">
        <f t="shared" si="66"/>
        <v>0</v>
      </c>
      <c r="AV166" s="36">
        <v>120</v>
      </c>
    </row>
    <row r="167" spans="1:48" ht="12.75">
      <c r="A167" s="443">
        <f t="shared" si="67"/>
        <v>151</v>
      </c>
      <c r="B167" s="498">
        <f t="shared" si="45"/>
        <v>0</v>
      </c>
      <c r="C167" s="499"/>
      <c r="D167" s="498">
        <f t="shared" si="46"/>
        <v>0</v>
      </c>
      <c r="E167" s="500"/>
      <c r="F167" s="500">
        <f t="shared" si="47"/>
        <v>0</v>
      </c>
      <c r="G167" s="500"/>
      <c r="H167" s="500">
        <f t="shared" si="48"/>
        <v>0</v>
      </c>
      <c r="I167" s="501"/>
      <c r="J167" s="505">
        <f t="shared" si="49"/>
        <v>0</v>
      </c>
      <c r="K167" s="501"/>
      <c r="L167" s="502"/>
      <c r="M167" s="501"/>
      <c r="N167" s="500">
        <v>0</v>
      </c>
      <c r="O167" s="6"/>
      <c r="P167" s="457">
        <f t="shared" si="50"/>
        <v>0</v>
      </c>
      <c r="Q167" s="1"/>
      <c r="R167" s="500">
        <f t="shared" si="51"/>
        <v>0</v>
      </c>
      <c r="S167" s="500"/>
      <c r="T167" s="500">
        <f>IF(B167&lt;=0,0,B167*IF('Simulador 7x5'!$Y$81=1,0,'Simulador 7x5'!$U$75))</f>
        <v>0</v>
      </c>
      <c r="U167" s="500"/>
      <c r="V167" s="513">
        <f>IF(B167&lt;=0,0,IF('Simulador 7x5'!$T$41=1,'Simulador 7x5'!$E$55,'Simulador 7x5'!$G$55))</f>
        <v>0</v>
      </c>
      <c r="W167" s="500"/>
      <c r="X167" s="500">
        <f t="shared" si="52"/>
        <v>0</v>
      </c>
      <c r="Y167" s="7"/>
      <c r="Z167" s="12"/>
      <c r="AA167" s="17"/>
      <c r="AB167" s="2">
        <f t="shared" si="53"/>
        <v>0</v>
      </c>
      <c r="AC167" s="21">
        <f t="shared" si="68"/>
        <v>0</v>
      </c>
      <c r="AD167" s="380">
        <f t="shared" si="54"/>
        <v>0</v>
      </c>
      <c r="AE167" s="380">
        <f t="shared" si="55"/>
        <v>0</v>
      </c>
      <c r="AF167" s="381">
        <f t="shared" si="56"/>
        <v>0</v>
      </c>
      <c r="AG167" s="380">
        <f t="shared" si="57"/>
        <v>0</v>
      </c>
      <c r="AH167" s="380">
        <f t="shared" si="58"/>
        <v>0</v>
      </c>
      <c r="AI167" s="380">
        <f>IF(AD167&lt;=0,0,AD167*IF('Simulador 7x5'!$Y$81=1,0,'Simulador 7x5'!$U$75))+IF(AD167&lt;=0,0,IF('Simulador 7x5'!$T$41=1,'Simulador 7x5'!$E$55,'Simulador 7x5'!$G$55))</f>
        <v>0</v>
      </c>
      <c r="AJ167" s="380">
        <f t="shared" si="59"/>
        <v>0</v>
      </c>
      <c r="AK167" s="109">
        <f t="shared" si="60"/>
        <v>0</v>
      </c>
      <c r="AM167" s="141">
        <v>12</v>
      </c>
      <c r="AN167" s="2">
        <v>0</v>
      </c>
      <c r="AO167" s="329">
        <f t="shared" si="61"/>
        <v>0</v>
      </c>
      <c r="AP167" s="329">
        <f t="shared" si="62"/>
        <v>0</v>
      </c>
      <c r="AQ167" s="20">
        <f t="shared" si="63"/>
        <v>0</v>
      </c>
      <c r="AR167" s="36"/>
      <c r="AS167">
        <f t="shared" si="64"/>
        <v>0</v>
      </c>
      <c r="AT167" s="384">
        <f t="shared" si="65"/>
      </c>
      <c r="AU167" s="385">
        <f t="shared" si="66"/>
        <v>0</v>
      </c>
      <c r="AV167" s="36">
        <v>120</v>
      </c>
    </row>
    <row r="168" spans="1:48" ht="12.75">
      <c r="A168" s="443">
        <f t="shared" si="67"/>
        <v>152</v>
      </c>
      <c r="B168" s="498">
        <f t="shared" si="45"/>
        <v>0</v>
      </c>
      <c r="C168" s="499"/>
      <c r="D168" s="498">
        <f t="shared" si="46"/>
        <v>0</v>
      </c>
      <c r="E168" s="500"/>
      <c r="F168" s="500">
        <f t="shared" si="47"/>
        <v>0</v>
      </c>
      <c r="G168" s="500"/>
      <c r="H168" s="500">
        <f t="shared" si="48"/>
        <v>0</v>
      </c>
      <c r="I168" s="501"/>
      <c r="J168" s="505">
        <f t="shared" si="49"/>
        <v>0</v>
      </c>
      <c r="K168" s="501"/>
      <c r="L168" s="502"/>
      <c r="M168" s="501"/>
      <c r="N168" s="500">
        <v>0</v>
      </c>
      <c r="O168" s="6"/>
      <c r="P168" s="457">
        <f t="shared" si="50"/>
        <v>0</v>
      </c>
      <c r="Q168" s="1"/>
      <c r="R168" s="500">
        <f t="shared" si="51"/>
        <v>0</v>
      </c>
      <c r="S168" s="500"/>
      <c r="T168" s="500">
        <f>IF(B168&lt;=0,0,B168*IF('Simulador 7x5'!$Y$81=1,0,'Simulador 7x5'!$U$75))</f>
        <v>0</v>
      </c>
      <c r="U168" s="500"/>
      <c r="V168" s="513">
        <f>IF(B168&lt;=0,0,IF('Simulador 7x5'!$T$41=1,'Simulador 7x5'!$E$55,'Simulador 7x5'!$G$55))</f>
        <v>0</v>
      </c>
      <c r="W168" s="500"/>
      <c r="X168" s="500">
        <f t="shared" si="52"/>
        <v>0</v>
      </c>
      <c r="Y168" s="7"/>
      <c r="Z168" s="12"/>
      <c r="AA168" s="17"/>
      <c r="AB168" s="2">
        <f t="shared" si="53"/>
        <v>0</v>
      </c>
      <c r="AC168" s="21">
        <f t="shared" si="68"/>
        <v>0</v>
      </c>
      <c r="AD168" s="380">
        <f t="shared" si="54"/>
        <v>0</v>
      </c>
      <c r="AE168" s="380">
        <f t="shared" si="55"/>
        <v>0</v>
      </c>
      <c r="AF168" s="381">
        <f t="shared" si="56"/>
        <v>0</v>
      </c>
      <c r="AG168" s="380">
        <f t="shared" si="57"/>
        <v>0</v>
      </c>
      <c r="AH168" s="380">
        <f t="shared" si="58"/>
        <v>0</v>
      </c>
      <c r="AI168" s="380">
        <f>IF(AD168&lt;=0,0,AD168*IF('Simulador 7x5'!$Y$81=1,0,'Simulador 7x5'!$U$75))+IF(AD168&lt;=0,0,IF('Simulador 7x5'!$T$41=1,'Simulador 7x5'!$E$55,'Simulador 7x5'!$G$55))</f>
        <v>0</v>
      </c>
      <c r="AJ168" s="380">
        <f t="shared" si="59"/>
        <v>0</v>
      </c>
      <c r="AK168" s="109">
        <f t="shared" si="60"/>
        <v>0</v>
      </c>
      <c r="AM168" s="141">
        <v>12</v>
      </c>
      <c r="AN168" s="2">
        <v>0</v>
      </c>
      <c r="AO168" s="329">
        <f t="shared" si="61"/>
        <v>0</v>
      </c>
      <c r="AP168" s="329">
        <f t="shared" si="62"/>
        <v>0</v>
      </c>
      <c r="AQ168" s="20">
        <f t="shared" si="63"/>
        <v>0</v>
      </c>
      <c r="AR168" s="36"/>
      <c r="AS168">
        <f t="shared" si="64"/>
        <v>0</v>
      </c>
      <c r="AT168" s="384">
        <f t="shared" si="65"/>
      </c>
      <c r="AU168" s="385">
        <f t="shared" si="66"/>
        <v>0</v>
      </c>
      <c r="AV168" s="36">
        <v>120</v>
      </c>
    </row>
    <row r="169" spans="1:48" ht="12.75">
      <c r="A169" s="443">
        <f t="shared" si="67"/>
        <v>153</v>
      </c>
      <c r="B169" s="498">
        <f t="shared" si="45"/>
        <v>0</v>
      </c>
      <c r="C169" s="499"/>
      <c r="D169" s="498">
        <f t="shared" si="46"/>
        <v>0</v>
      </c>
      <c r="E169" s="500"/>
      <c r="F169" s="500">
        <f t="shared" si="47"/>
        <v>0</v>
      </c>
      <c r="G169" s="500"/>
      <c r="H169" s="500">
        <f t="shared" si="48"/>
        <v>0</v>
      </c>
      <c r="I169" s="501"/>
      <c r="J169" s="505">
        <f t="shared" si="49"/>
        <v>0</v>
      </c>
      <c r="K169" s="501"/>
      <c r="L169" s="502"/>
      <c r="M169" s="501"/>
      <c r="N169" s="500">
        <v>0</v>
      </c>
      <c r="O169" s="6"/>
      <c r="P169" s="457">
        <f t="shared" si="50"/>
        <v>0</v>
      </c>
      <c r="Q169" s="1"/>
      <c r="R169" s="500">
        <f t="shared" si="51"/>
        <v>0</v>
      </c>
      <c r="S169" s="500"/>
      <c r="T169" s="500">
        <f>IF(B169&lt;=0,0,B169*IF('Simulador 7x5'!$Y$81=1,0,'Simulador 7x5'!$U$75))</f>
        <v>0</v>
      </c>
      <c r="U169" s="500"/>
      <c r="V169" s="513">
        <f>IF(B169&lt;=0,0,IF('Simulador 7x5'!$T$41=1,'Simulador 7x5'!$E$55,'Simulador 7x5'!$G$55))</f>
        <v>0</v>
      </c>
      <c r="W169" s="500"/>
      <c r="X169" s="500">
        <f t="shared" si="52"/>
        <v>0</v>
      </c>
      <c r="Y169" s="7"/>
      <c r="Z169" s="12"/>
      <c r="AA169" s="17"/>
      <c r="AB169" s="2">
        <f t="shared" si="53"/>
        <v>0</v>
      </c>
      <c r="AC169" s="21">
        <f t="shared" si="68"/>
        <v>0</v>
      </c>
      <c r="AD169" s="380">
        <f t="shared" si="54"/>
        <v>0</v>
      </c>
      <c r="AE169" s="380">
        <f t="shared" si="55"/>
        <v>0</v>
      </c>
      <c r="AF169" s="381">
        <f t="shared" si="56"/>
        <v>0</v>
      </c>
      <c r="AG169" s="380">
        <f t="shared" si="57"/>
        <v>0</v>
      </c>
      <c r="AH169" s="380">
        <f t="shared" si="58"/>
        <v>0</v>
      </c>
      <c r="AI169" s="380">
        <f>IF(AD169&lt;=0,0,AD169*IF('Simulador 7x5'!$Y$81=1,0,'Simulador 7x5'!$U$75))+IF(AD169&lt;=0,0,IF('Simulador 7x5'!$T$41=1,'Simulador 7x5'!$E$55,'Simulador 7x5'!$G$55))</f>
        <v>0</v>
      </c>
      <c r="AJ169" s="380">
        <f t="shared" si="59"/>
        <v>0</v>
      </c>
      <c r="AK169" s="109">
        <f t="shared" si="60"/>
        <v>0</v>
      </c>
      <c r="AM169" s="141">
        <v>12</v>
      </c>
      <c r="AN169" s="2">
        <v>0</v>
      </c>
      <c r="AO169" s="329">
        <f t="shared" si="61"/>
        <v>0</v>
      </c>
      <c r="AP169" s="329">
        <f t="shared" si="62"/>
        <v>0</v>
      </c>
      <c r="AQ169" s="20">
        <f t="shared" si="63"/>
        <v>0</v>
      </c>
      <c r="AR169" s="36"/>
      <c r="AS169">
        <f t="shared" si="64"/>
        <v>0</v>
      </c>
      <c r="AT169" s="384">
        <f t="shared" si="65"/>
      </c>
      <c r="AU169" s="385">
        <f t="shared" si="66"/>
        <v>0</v>
      </c>
      <c r="AV169" s="36">
        <v>120</v>
      </c>
    </row>
    <row r="170" spans="1:48" ht="12.75">
      <c r="A170" s="443">
        <f t="shared" si="67"/>
        <v>154</v>
      </c>
      <c r="B170" s="498">
        <f t="shared" si="45"/>
        <v>0</v>
      </c>
      <c r="C170" s="499"/>
      <c r="D170" s="498">
        <f t="shared" si="46"/>
        <v>0</v>
      </c>
      <c r="E170" s="500"/>
      <c r="F170" s="500">
        <f t="shared" si="47"/>
        <v>0</v>
      </c>
      <c r="G170" s="500"/>
      <c r="H170" s="500">
        <f t="shared" si="48"/>
        <v>0</v>
      </c>
      <c r="I170" s="501"/>
      <c r="J170" s="505">
        <f t="shared" si="49"/>
        <v>0</v>
      </c>
      <c r="K170" s="501"/>
      <c r="L170" s="502"/>
      <c r="M170" s="501"/>
      <c r="N170" s="500">
        <v>0</v>
      </c>
      <c r="O170" s="6"/>
      <c r="P170" s="457">
        <f t="shared" si="50"/>
        <v>0</v>
      </c>
      <c r="Q170" s="1"/>
      <c r="R170" s="500">
        <f t="shared" si="51"/>
        <v>0</v>
      </c>
      <c r="S170" s="500"/>
      <c r="T170" s="500">
        <f>IF(B170&lt;=0,0,B170*IF('Simulador 7x5'!$Y$81=1,0,'Simulador 7x5'!$U$75))</f>
        <v>0</v>
      </c>
      <c r="U170" s="500"/>
      <c r="V170" s="513">
        <f>IF(B170&lt;=0,0,IF('Simulador 7x5'!$T$41=1,'Simulador 7x5'!$E$55,'Simulador 7x5'!$G$55))</f>
        <v>0</v>
      </c>
      <c r="W170" s="500"/>
      <c r="X170" s="500">
        <f t="shared" si="52"/>
        <v>0</v>
      </c>
      <c r="Y170" s="7"/>
      <c r="Z170" s="12"/>
      <c r="AA170" s="17"/>
      <c r="AB170" s="2">
        <f t="shared" si="53"/>
        <v>0</v>
      </c>
      <c r="AC170" s="21">
        <f t="shared" si="68"/>
        <v>0</v>
      </c>
      <c r="AD170" s="380">
        <f t="shared" si="54"/>
        <v>0</v>
      </c>
      <c r="AE170" s="380">
        <f t="shared" si="55"/>
        <v>0</v>
      </c>
      <c r="AF170" s="381">
        <f t="shared" si="56"/>
        <v>0</v>
      </c>
      <c r="AG170" s="380">
        <f t="shared" si="57"/>
        <v>0</v>
      </c>
      <c r="AH170" s="380">
        <f t="shared" si="58"/>
        <v>0</v>
      </c>
      <c r="AI170" s="380">
        <f>IF(AD170&lt;=0,0,AD170*IF('Simulador 7x5'!$Y$81=1,0,'Simulador 7x5'!$U$75))+IF(AD170&lt;=0,0,IF('Simulador 7x5'!$T$41=1,'Simulador 7x5'!$E$55,'Simulador 7x5'!$G$55))</f>
        <v>0</v>
      </c>
      <c r="AJ170" s="380">
        <f t="shared" si="59"/>
        <v>0</v>
      </c>
      <c r="AK170" s="109">
        <f t="shared" si="60"/>
        <v>0</v>
      </c>
      <c r="AM170" s="141">
        <v>12</v>
      </c>
      <c r="AN170" s="2">
        <v>0</v>
      </c>
      <c r="AO170" s="329">
        <f t="shared" si="61"/>
        <v>0</v>
      </c>
      <c r="AP170" s="329">
        <f t="shared" si="62"/>
        <v>0</v>
      </c>
      <c r="AQ170" s="20">
        <f t="shared" si="63"/>
        <v>0</v>
      </c>
      <c r="AR170" s="36"/>
      <c r="AS170">
        <f t="shared" si="64"/>
        <v>0</v>
      </c>
      <c r="AT170" s="384">
        <f t="shared" si="65"/>
      </c>
      <c r="AU170" s="385">
        <f t="shared" si="66"/>
        <v>0</v>
      </c>
      <c r="AV170" s="36">
        <v>120</v>
      </c>
    </row>
    <row r="171" spans="1:48" ht="12.75">
      <c r="A171" s="443">
        <f t="shared" si="67"/>
        <v>155</v>
      </c>
      <c r="B171" s="498">
        <f t="shared" si="45"/>
        <v>0</v>
      </c>
      <c r="C171" s="499"/>
      <c r="D171" s="498">
        <f t="shared" si="46"/>
        <v>0</v>
      </c>
      <c r="E171" s="500"/>
      <c r="F171" s="500">
        <f t="shared" si="47"/>
        <v>0</v>
      </c>
      <c r="G171" s="500"/>
      <c r="H171" s="500">
        <f t="shared" si="48"/>
        <v>0</v>
      </c>
      <c r="I171" s="501"/>
      <c r="J171" s="505">
        <f t="shared" si="49"/>
        <v>0</v>
      </c>
      <c r="K171" s="501"/>
      <c r="L171" s="502"/>
      <c r="M171" s="501"/>
      <c r="N171" s="500">
        <v>0</v>
      </c>
      <c r="O171" s="6"/>
      <c r="P171" s="457">
        <f t="shared" si="50"/>
        <v>0</v>
      </c>
      <c r="Q171" s="1"/>
      <c r="R171" s="500">
        <f t="shared" si="51"/>
        <v>0</v>
      </c>
      <c r="S171" s="500"/>
      <c r="T171" s="500">
        <f>IF(B171&lt;=0,0,B171*IF('Simulador 7x5'!$Y$81=1,0,'Simulador 7x5'!$U$75))</f>
        <v>0</v>
      </c>
      <c r="U171" s="500"/>
      <c r="V171" s="513">
        <f>IF(B171&lt;=0,0,IF('Simulador 7x5'!$T$41=1,'Simulador 7x5'!$E$55,'Simulador 7x5'!$G$55))</f>
        <v>0</v>
      </c>
      <c r="W171" s="500"/>
      <c r="X171" s="500">
        <f t="shared" si="52"/>
        <v>0</v>
      </c>
      <c r="Y171" s="7"/>
      <c r="Z171" s="12"/>
      <c r="AA171" s="17"/>
      <c r="AB171" s="2">
        <f t="shared" si="53"/>
        <v>0</v>
      </c>
      <c r="AC171" s="21">
        <f t="shared" si="68"/>
        <v>0</v>
      </c>
      <c r="AD171" s="380">
        <f t="shared" si="54"/>
        <v>0</v>
      </c>
      <c r="AE171" s="380">
        <f t="shared" si="55"/>
        <v>0</v>
      </c>
      <c r="AF171" s="381">
        <f t="shared" si="56"/>
        <v>0</v>
      </c>
      <c r="AG171" s="380">
        <f t="shared" si="57"/>
        <v>0</v>
      </c>
      <c r="AH171" s="380">
        <f t="shared" si="58"/>
        <v>0</v>
      </c>
      <c r="AI171" s="380">
        <f>IF(AD171&lt;=0,0,AD171*IF('Simulador 7x5'!$Y$81=1,0,'Simulador 7x5'!$U$75))+IF(AD171&lt;=0,0,IF('Simulador 7x5'!$T$41=1,'Simulador 7x5'!$E$55,'Simulador 7x5'!$G$55))</f>
        <v>0</v>
      </c>
      <c r="AJ171" s="380">
        <f t="shared" si="59"/>
        <v>0</v>
      </c>
      <c r="AK171" s="109">
        <f t="shared" si="60"/>
        <v>0</v>
      </c>
      <c r="AM171" s="141">
        <v>12</v>
      </c>
      <c r="AN171" s="2">
        <v>0</v>
      </c>
      <c r="AO171" s="329">
        <f t="shared" si="61"/>
        <v>0</v>
      </c>
      <c r="AP171" s="329">
        <f t="shared" si="62"/>
        <v>0</v>
      </c>
      <c r="AQ171" s="20">
        <f t="shared" si="63"/>
        <v>0</v>
      </c>
      <c r="AR171" s="36"/>
      <c r="AS171">
        <f t="shared" si="64"/>
        <v>0</v>
      </c>
      <c r="AT171" s="384">
        <f t="shared" si="65"/>
      </c>
      <c r="AU171" s="385">
        <f t="shared" si="66"/>
        <v>0</v>
      </c>
      <c r="AV171" s="36">
        <v>120</v>
      </c>
    </row>
    <row r="172" spans="1:48" ht="12.75">
      <c r="A172" s="443">
        <f t="shared" si="67"/>
        <v>156</v>
      </c>
      <c r="B172" s="498">
        <f t="shared" si="45"/>
        <v>0</v>
      </c>
      <c r="C172" s="499"/>
      <c r="D172" s="498">
        <f t="shared" si="46"/>
        <v>0</v>
      </c>
      <c r="E172" s="500"/>
      <c r="F172" s="500">
        <f t="shared" si="47"/>
        <v>0</v>
      </c>
      <c r="G172" s="500"/>
      <c r="H172" s="500">
        <f t="shared" si="48"/>
        <v>0</v>
      </c>
      <c r="I172" s="501"/>
      <c r="J172" s="505">
        <f t="shared" si="49"/>
        <v>0</v>
      </c>
      <c r="K172" s="501"/>
      <c r="L172" s="502"/>
      <c r="M172" s="501"/>
      <c r="N172" s="500">
        <v>0</v>
      </c>
      <c r="O172" s="6"/>
      <c r="P172" s="457">
        <f t="shared" si="50"/>
        <v>0</v>
      </c>
      <c r="Q172" s="1"/>
      <c r="R172" s="500">
        <f t="shared" si="51"/>
        <v>0</v>
      </c>
      <c r="S172" s="500"/>
      <c r="T172" s="500">
        <f>IF(B172&lt;=0,0,B172*IF('Simulador 7x5'!$Y$81=1,0,'Simulador 7x5'!$U$75))</f>
        <v>0</v>
      </c>
      <c r="U172" s="500"/>
      <c r="V172" s="513">
        <f>IF(B172&lt;=0,0,IF('Simulador 7x5'!$T$41=1,'Simulador 7x5'!$E$55,'Simulador 7x5'!$G$55))</f>
        <v>0</v>
      </c>
      <c r="W172" s="500"/>
      <c r="X172" s="500">
        <f t="shared" si="52"/>
        <v>0</v>
      </c>
      <c r="Y172" s="7"/>
      <c r="Z172" s="12"/>
      <c r="AA172" s="17"/>
      <c r="AB172" s="2">
        <f t="shared" si="53"/>
        <v>0</v>
      </c>
      <c r="AC172" s="21">
        <f t="shared" si="68"/>
        <v>0</v>
      </c>
      <c r="AD172" s="380">
        <f t="shared" si="54"/>
        <v>0</v>
      </c>
      <c r="AE172" s="380">
        <f t="shared" si="55"/>
        <v>0</v>
      </c>
      <c r="AF172" s="381">
        <f t="shared" si="56"/>
        <v>0</v>
      </c>
      <c r="AG172" s="380">
        <f t="shared" si="57"/>
        <v>0</v>
      </c>
      <c r="AH172" s="380">
        <f t="shared" si="58"/>
        <v>0</v>
      </c>
      <c r="AI172" s="380">
        <f>IF(AD172&lt;=0,0,AD172*IF('Simulador 7x5'!$Y$81=1,0,'Simulador 7x5'!$U$75))+IF(AD172&lt;=0,0,IF('Simulador 7x5'!$T$41=1,'Simulador 7x5'!$E$55,'Simulador 7x5'!$G$55))</f>
        <v>0</v>
      </c>
      <c r="AJ172" s="380">
        <f t="shared" si="59"/>
        <v>0</v>
      </c>
      <c r="AK172" s="109">
        <f t="shared" si="60"/>
        <v>0</v>
      </c>
      <c r="AM172" s="141">
        <v>13</v>
      </c>
      <c r="AN172" s="2">
        <v>0</v>
      </c>
      <c r="AO172" s="329">
        <f t="shared" si="61"/>
        <v>0</v>
      </c>
      <c r="AP172" s="329">
        <f t="shared" si="62"/>
        <v>0</v>
      </c>
      <c r="AQ172" s="20">
        <f t="shared" si="63"/>
        <v>0</v>
      </c>
      <c r="AR172" s="36"/>
      <c r="AS172">
        <f t="shared" si="64"/>
        <v>0</v>
      </c>
      <c r="AT172" s="384">
        <f t="shared" si="65"/>
      </c>
      <c r="AU172" s="385">
        <f t="shared" si="66"/>
        <v>0</v>
      </c>
      <c r="AV172" s="36">
        <v>120</v>
      </c>
    </row>
    <row r="173" spans="1:48" ht="12.75">
      <c r="A173" s="443">
        <f t="shared" si="67"/>
        <v>157</v>
      </c>
      <c r="B173" s="498">
        <f t="shared" si="45"/>
        <v>0</v>
      </c>
      <c r="C173" s="499"/>
      <c r="D173" s="498">
        <f t="shared" si="46"/>
        <v>0</v>
      </c>
      <c r="E173" s="500"/>
      <c r="F173" s="500">
        <f t="shared" si="47"/>
        <v>0</v>
      </c>
      <c r="G173" s="500"/>
      <c r="H173" s="500">
        <f t="shared" si="48"/>
        <v>0</v>
      </c>
      <c r="I173" s="501"/>
      <c r="J173" s="505">
        <f t="shared" si="49"/>
        <v>0</v>
      </c>
      <c r="K173" s="501"/>
      <c r="L173" s="502"/>
      <c r="M173" s="501"/>
      <c r="N173" s="500">
        <v>0</v>
      </c>
      <c r="O173" s="6"/>
      <c r="P173" s="457">
        <f t="shared" si="50"/>
        <v>0</v>
      </c>
      <c r="Q173" s="1"/>
      <c r="R173" s="500">
        <f t="shared" si="51"/>
        <v>0</v>
      </c>
      <c r="S173" s="500"/>
      <c r="T173" s="500">
        <f>IF(B173&lt;=0,0,B173*IF('Simulador 7x5'!$Y$81=1,0,'Simulador 7x5'!$U$75))</f>
        <v>0</v>
      </c>
      <c r="U173" s="500"/>
      <c r="V173" s="513">
        <f>IF(B173&lt;=0,0,IF('Simulador 7x5'!$T$41=1,'Simulador 7x5'!$E$55,'Simulador 7x5'!$G$55))</f>
        <v>0</v>
      </c>
      <c r="W173" s="500"/>
      <c r="X173" s="500">
        <f t="shared" si="52"/>
        <v>0</v>
      </c>
      <c r="Y173" s="7"/>
      <c r="Z173" s="12"/>
      <c r="AA173" s="17"/>
      <c r="AB173" s="2">
        <f t="shared" si="53"/>
        <v>0</v>
      </c>
      <c r="AC173" s="21">
        <f t="shared" si="68"/>
        <v>0</v>
      </c>
      <c r="AD173" s="380">
        <f t="shared" si="54"/>
        <v>0</v>
      </c>
      <c r="AE173" s="380">
        <f t="shared" si="55"/>
        <v>0</v>
      </c>
      <c r="AF173" s="381">
        <f t="shared" si="56"/>
        <v>0</v>
      </c>
      <c r="AG173" s="380">
        <f t="shared" si="57"/>
        <v>0</v>
      </c>
      <c r="AH173" s="380">
        <f t="shared" si="58"/>
        <v>0</v>
      </c>
      <c r="AI173" s="380">
        <f>IF(AD173&lt;=0,0,AD173*IF('Simulador 7x5'!$Y$81=1,0,'Simulador 7x5'!$U$75))+IF(AD173&lt;=0,0,IF('Simulador 7x5'!$T$41=1,'Simulador 7x5'!$E$55,'Simulador 7x5'!$G$55))</f>
        <v>0</v>
      </c>
      <c r="AJ173" s="380">
        <f t="shared" si="59"/>
        <v>0</v>
      </c>
      <c r="AK173" s="109">
        <f t="shared" si="60"/>
        <v>0</v>
      </c>
      <c r="AM173" s="141">
        <v>13</v>
      </c>
      <c r="AN173" s="2">
        <v>0</v>
      </c>
      <c r="AO173" s="329">
        <f t="shared" si="61"/>
        <v>0</v>
      </c>
      <c r="AP173" s="329">
        <f t="shared" si="62"/>
        <v>0</v>
      </c>
      <c r="AQ173" s="20">
        <f t="shared" si="63"/>
        <v>0</v>
      </c>
      <c r="AR173" s="36"/>
      <c r="AS173">
        <f t="shared" si="64"/>
        <v>0</v>
      </c>
      <c r="AT173" s="384">
        <f t="shared" si="65"/>
      </c>
      <c r="AU173" s="385">
        <f t="shared" si="66"/>
        <v>0</v>
      </c>
      <c r="AV173" s="36">
        <v>120</v>
      </c>
    </row>
    <row r="174" spans="1:48" ht="12.75">
      <c r="A174" s="443">
        <f t="shared" si="67"/>
        <v>158</v>
      </c>
      <c r="B174" s="498">
        <f t="shared" si="45"/>
        <v>0</v>
      </c>
      <c r="C174" s="499"/>
      <c r="D174" s="498">
        <f t="shared" si="46"/>
        <v>0</v>
      </c>
      <c r="E174" s="500"/>
      <c r="F174" s="500">
        <f t="shared" si="47"/>
        <v>0</v>
      </c>
      <c r="G174" s="500"/>
      <c r="H174" s="500">
        <f t="shared" si="48"/>
        <v>0</v>
      </c>
      <c r="I174" s="501"/>
      <c r="J174" s="505">
        <f t="shared" si="49"/>
        <v>0</v>
      </c>
      <c r="K174" s="501"/>
      <c r="L174" s="502"/>
      <c r="M174" s="501"/>
      <c r="N174" s="500">
        <v>0</v>
      </c>
      <c r="O174" s="6"/>
      <c r="P174" s="457">
        <f t="shared" si="50"/>
        <v>0</v>
      </c>
      <c r="Q174" s="1"/>
      <c r="R174" s="500">
        <f t="shared" si="51"/>
        <v>0</v>
      </c>
      <c r="S174" s="500"/>
      <c r="T174" s="500">
        <f>IF(B174&lt;=0,0,B174*IF('Simulador 7x5'!$Y$81=1,0,'Simulador 7x5'!$U$75))</f>
        <v>0</v>
      </c>
      <c r="U174" s="500"/>
      <c r="V174" s="513">
        <f>IF(B174&lt;=0,0,IF('Simulador 7x5'!$T$41=1,'Simulador 7x5'!$E$55,'Simulador 7x5'!$G$55))</f>
        <v>0</v>
      </c>
      <c r="W174" s="500"/>
      <c r="X174" s="500">
        <f t="shared" si="52"/>
        <v>0</v>
      </c>
      <c r="Y174" s="7"/>
      <c r="Z174" s="12"/>
      <c r="AA174" s="17"/>
      <c r="AB174" s="2">
        <f t="shared" si="53"/>
        <v>0</v>
      </c>
      <c r="AC174" s="21">
        <f t="shared" si="68"/>
        <v>0</v>
      </c>
      <c r="AD174" s="380">
        <f t="shared" si="54"/>
        <v>0</v>
      </c>
      <c r="AE174" s="380">
        <f t="shared" si="55"/>
        <v>0</v>
      </c>
      <c r="AF174" s="381">
        <f t="shared" si="56"/>
        <v>0</v>
      </c>
      <c r="AG174" s="380">
        <f t="shared" si="57"/>
        <v>0</v>
      </c>
      <c r="AH174" s="380">
        <f t="shared" si="58"/>
        <v>0</v>
      </c>
      <c r="AI174" s="380">
        <f>IF(AD174&lt;=0,0,AD174*IF('Simulador 7x5'!$Y$81=1,0,'Simulador 7x5'!$U$75))+IF(AD174&lt;=0,0,IF('Simulador 7x5'!$T$41=1,'Simulador 7x5'!$E$55,'Simulador 7x5'!$G$55))</f>
        <v>0</v>
      </c>
      <c r="AJ174" s="380">
        <f t="shared" si="59"/>
        <v>0</v>
      </c>
      <c r="AK174" s="109">
        <f t="shared" si="60"/>
        <v>0</v>
      </c>
      <c r="AM174" s="141">
        <v>13</v>
      </c>
      <c r="AN174" s="2">
        <v>0</v>
      </c>
      <c r="AO174" s="329">
        <f t="shared" si="61"/>
        <v>0</v>
      </c>
      <c r="AP174" s="329">
        <f t="shared" si="62"/>
        <v>0</v>
      </c>
      <c r="AQ174" s="20">
        <f t="shared" si="63"/>
        <v>0</v>
      </c>
      <c r="AR174" s="36"/>
      <c r="AS174">
        <f t="shared" si="64"/>
        <v>0</v>
      </c>
      <c r="AT174" s="384">
        <f t="shared" si="65"/>
      </c>
      <c r="AU174" s="385">
        <f t="shared" si="66"/>
        <v>0</v>
      </c>
      <c r="AV174" s="36">
        <v>120</v>
      </c>
    </row>
    <row r="175" spans="1:48" ht="12.75">
      <c r="A175" s="443">
        <f t="shared" si="67"/>
        <v>159</v>
      </c>
      <c r="B175" s="498">
        <f t="shared" si="45"/>
        <v>0</v>
      </c>
      <c r="C175" s="499"/>
      <c r="D175" s="498">
        <f t="shared" si="46"/>
        <v>0</v>
      </c>
      <c r="E175" s="500"/>
      <c r="F175" s="500">
        <f t="shared" si="47"/>
        <v>0</v>
      </c>
      <c r="G175" s="500"/>
      <c r="H175" s="500">
        <f t="shared" si="48"/>
        <v>0</v>
      </c>
      <c r="I175" s="501"/>
      <c r="J175" s="505">
        <f t="shared" si="49"/>
        <v>0</v>
      </c>
      <c r="K175" s="501"/>
      <c r="L175" s="502"/>
      <c r="M175" s="501"/>
      <c r="N175" s="500">
        <v>0</v>
      </c>
      <c r="O175" s="6"/>
      <c r="P175" s="457">
        <f t="shared" si="50"/>
        <v>0</v>
      </c>
      <c r="Q175" s="1"/>
      <c r="R175" s="500">
        <f t="shared" si="51"/>
        <v>0</v>
      </c>
      <c r="S175" s="500"/>
      <c r="T175" s="500">
        <f>IF(B175&lt;=0,0,B175*IF('Simulador 7x5'!$Y$81=1,0,'Simulador 7x5'!$U$75))</f>
        <v>0</v>
      </c>
      <c r="U175" s="500"/>
      <c r="V175" s="513">
        <f>IF(B175&lt;=0,0,IF('Simulador 7x5'!$T$41=1,'Simulador 7x5'!$E$55,'Simulador 7x5'!$G$55))</f>
        <v>0</v>
      </c>
      <c r="W175" s="500"/>
      <c r="X175" s="500">
        <f t="shared" si="52"/>
        <v>0</v>
      </c>
      <c r="Y175" s="7"/>
      <c r="Z175" s="12"/>
      <c r="AA175" s="17"/>
      <c r="AB175" s="2">
        <f t="shared" si="53"/>
        <v>0</v>
      </c>
      <c r="AC175" s="21">
        <f t="shared" si="68"/>
        <v>0</v>
      </c>
      <c r="AD175" s="380">
        <f t="shared" si="54"/>
        <v>0</v>
      </c>
      <c r="AE175" s="380">
        <f t="shared" si="55"/>
        <v>0</v>
      </c>
      <c r="AF175" s="381">
        <f t="shared" si="56"/>
        <v>0</v>
      </c>
      <c r="AG175" s="380">
        <f t="shared" si="57"/>
        <v>0</v>
      </c>
      <c r="AH175" s="380">
        <f t="shared" si="58"/>
        <v>0</v>
      </c>
      <c r="AI175" s="380">
        <f>IF(AD175&lt;=0,0,AD175*IF('Simulador 7x5'!$Y$81=1,0,'Simulador 7x5'!$U$75))+IF(AD175&lt;=0,0,IF('Simulador 7x5'!$T$41=1,'Simulador 7x5'!$E$55,'Simulador 7x5'!$G$55))</f>
        <v>0</v>
      </c>
      <c r="AJ175" s="380">
        <f t="shared" si="59"/>
        <v>0</v>
      </c>
      <c r="AK175" s="109">
        <f t="shared" si="60"/>
        <v>0</v>
      </c>
      <c r="AM175" s="141">
        <v>13</v>
      </c>
      <c r="AN175" s="2">
        <v>0</v>
      </c>
      <c r="AO175" s="329">
        <f t="shared" si="61"/>
        <v>0</v>
      </c>
      <c r="AP175" s="329">
        <f t="shared" si="62"/>
        <v>0</v>
      </c>
      <c r="AQ175" s="20">
        <f t="shared" si="63"/>
        <v>0</v>
      </c>
      <c r="AR175" s="36"/>
      <c r="AS175">
        <f t="shared" si="64"/>
        <v>0</v>
      </c>
      <c r="AT175" s="384">
        <f t="shared" si="65"/>
      </c>
      <c r="AU175" s="385">
        <f t="shared" si="66"/>
        <v>0</v>
      </c>
      <c r="AV175" s="36">
        <v>120</v>
      </c>
    </row>
    <row r="176" spans="1:48" ht="12.75">
      <c r="A176" s="443">
        <f t="shared" si="67"/>
        <v>160</v>
      </c>
      <c r="B176" s="498">
        <f t="shared" si="45"/>
        <v>0</v>
      </c>
      <c r="C176" s="499"/>
      <c r="D176" s="498">
        <f t="shared" si="46"/>
        <v>0</v>
      </c>
      <c r="E176" s="500"/>
      <c r="F176" s="500">
        <f t="shared" si="47"/>
        <v>0</v>
      </c>
      <c r="G176" s="500"/>
      <c r="H176" s="500">
        <f t="shared" si="48"/>
        <v>0</v>
      </c>
      <c r="I176" s="501"/>
      <c r="J176" s="505">
        <f t="shared" si="49"/>
        <v>0</v>
      </c>
      <c r="K176" s="501"/>
      <c r="L176" s="502"/>
      <c r="M176" s="501"/>
      <c r="N176" s="500">
        <v>0</v>
      </c>
      <c r="O176" s="6"/>
      <c r="P176" s="457">
        <f t="shared" si="50"/>
        <v>0</v>
      </c>
      <c r="Q176" s="1"/>
      <c r="R176" s="500">
        <f t="shared" si="51"/>
        <v>0</v>
      </c>
      <c r="S176" s="500"/>
      <c r="T176" s="500">
        <f>IF(B176&lt;=0,0,B176*IF('Simulador 7x5'!$Y$81=1,0,'Simulador 7x5'!$U$75))</f>
        <v>0</v>
      </c>
      <c r="U176" s="500"/>
      <c r="V176" s="513">
        <f>IF(B176&lt;=0,0,IF('Simulador 7x5'!$T$41=1,'Simulador 7x5'!$E$55,'Simulador 7x5'!$G$55))</f>
        <v>0</v>
      </c>
      <c r="W176" s="500"/>
      <c r="X176" s="500">
        <f t="shared" si="52"/>
        <v>0</v>
      </c>
      <c r="Y176" s="7"/>
      <c r="Z176" s="12"/>
      <c r="AA176" s="17"/>
      <c r="AB176" s="2">
        <f t="shared" si="53"/>
        <v>0</v>
      </c>
      <c r="AC176" s="21">
        <f t="shared" si="68"/>
        <v>0</v>
      </c>
      <c r="AD176" s="380">
        <f t="shared" si="54"/>
        <v>0</v>
      </c>
      <c r="AE176" s="380">
        <f t="shared" si="55"/>
        <v>0</v>
      </c>
      <c r="AF176" s="381">
        <f t="shared" si="56"/>
        <v>0</v>
      </c>
      <c r="AG176" s="380">
        <f t="shared" si="57"/>
        <v>0</v>
      </c>
      <c r="AH176" s="380">
        <f t="shared" si="58"/>
        <v>0</v>
      </c>
      <c r="AI176" s="380">
        <f>IF(AD176&lt;=0,0,AD176*IF('Simulador 7x5'!$Y$81=1,0,'Simulador 7x5'!$U$75))+IF(AD176&lt;=0,0,IF('Simulador 7x5'!$T$41=1,'Simulador 7x5'!$E$55,'Simulador 7x5'!$G$55))</f>
        <v>0</v>
      </c>
      <c r="AJ176" s="380">
        <f t="shared" si="59"/>
        <v>0</v>
      </c>
      <c r="AK176" s="109">
        <f t="shared" si="60"/>
        <v>0</v>
      </c>
      <c r="AM176" s="141">
        <v>13</v>
      </c>
      <c r="AN176" s="2">
        <v>0</v>
      </c>
      <c r="AO176" s="329">
        <f t="shared" si="61"/>
        <v>0</v>
      </c>
      <c r="AP176" s="329">
        <f t="shared" si="62"/>
        <v>0</v>
      </c>
      <c r="AQ176" s="20">
        <f t="shared" si="63"/>
        <v>0</v>
      </c>
      <c r="AR176" s="36"/>
      <c r="AS176">
        <f t="shared" si="64"/>
        <v>0</v>
      </c>
      <c r="AT176" s="384">
        <f t="shared" si="65"/>
      </c>
      <c r="AU176" s="385">
        <f t="shared" si="66"/>
        <v>0</v>
      </c>
      <c r="AV176" s="36">
        <v>120</v>
      </c>
    </row>
    <row r="177" spans="1:48" ht="12.75">
      <c r="A177" s="443">
        <f t="shared" si="67"/>
        <v>161</v>
      </c>
      <c r="B177" s="498">
        <f t="shared" si="45"/>
        <v>0</v>
      </c>
      <c r="C177" s="499"/>
      <c r="D177" s="498">
        <f t="shared" si="46"/>
        <v>0</v>
      </c>
      <c r="E177" s="500"/>
      <c r="F177" s="500">
        <f t="shared" si="47"/>
        <v>0</v>
      </c>
      <c r="G177" s="500"/>
      <c r="H177" s="500">
        <f t="shared" si="48"/>
        <v>0</v>
      </c>
      <c r="I177" s="501"/>
      <c r="J177" s="505">
        <f t="shared" si="49"/>
        <v>0</v>
      </c>
      <c r="K177" s="501"/>
      <c r="L177" s="502"/>
      <c r="M177" s="501"/>
      <c r="N177" s="500">
        <v>0</v>
      </c>
      <c r="O177" s="6"/>
      <c r="P177" s="457">
        <f t="shared" si="50"/>
        <v>0</v>
      </c>
      <c r="Q177" s="1"/>
      <c r="R177" s="500">
        <f t="shared" si="51"/>
        <v>0</v>
      </c>
      <c r="S177" s="500"/>
      <c r="T177" s="500">
        <f>IF(B177&lt;=0,0,B177*IF('Simulador 7x5'!$Y$81=1,0,'Simulador 7x5'!$U$75))</f>
        <v>0</v>
      </c>
      <c r="U177" s="500"/>
      <c r="V177" s="513">
        <f>IF(B177&lt;=0,0,IF('Simulador 7x5'!$T$41=1,'Simulador 7x5'!$E$55,'Simulador 7x5'!$G$55))</f>
        <v>0</v>
      </c>
      <c r="W177" s="500"/>
      <c r="X177" s="500">
        <f t="shared" si="52"/>
        <v>0</v>
      </c>
      <c r="Y177" s="7"/>
      <c r="Z177" s="12"/>
      <c r="AA177" s="17"/>
      <c r="AB177" s="2">
        <f t="shared" si="53"/>
        <v>0</v>
      </c>
      <c r="AC177" s="21">
        <f t="shared" si="68"/>
        <v>0</v>
      </c>
      <c r="AD177" s="380">
        <f t="shared" si="54"/>
        <v>0</v>
      </c>
      <c r="AE177" s="380">
        <f t="shared" si="55"/>
        <v>0</v>
      </c>
      <c r="AF177" s="381">
        <f t="shared" si="56"/>
        <v>0</v>
      </c>
      <c r="AG177" s="380">
        <f t="shared" si="57"/>
        <v>0</v>
      </c>
      <c r="AH177" s="380">
        <f t="shared" si="58"/>
        <v>0</v>
      </c>
      <c r="AI177" s="380">
        <f>IF(AD177&lt;=0,0,AD177*IF('Simulador 7x5'!$Y$81=1,0,'Simulador 7x5'!$U$75))+IF(AD177&lt;=0,0,IF('Simulador 7x5'!$T$41=1,'Simulador 7x5'!$E$55,'Simulador 7x5'!$G$55))</f>
        <v>0</v>
      </c>
      <c r="AJ177" s="380">
        <f t="shared" si="59"/>
        <v>0</v>
      </c>
      <c r="AK177" s="109">
        <f t="shared" si="60"/>
        <v>0</v>
      </c>
      <c r="AM177" s="141">
        <v>13</v>
      </c>
      <c r="AN177" s="2">
        <v>0</v>
      </c>
      <c r="AO177" s="329">
        <f t="shared" si="61"/>
        <v>0</v>
      </c>
      <c r="AP177" s="329">
        <f t="shared" si="62"/>
        <v>0</v>
      </c>
      <c r="AQ177" s="20">
        <f t="shared" si="63"/>
        <v>0</v>
      </c>
      <c r="AR177" s="36"/>
      <c r="AS177">
        <f t="shared" si="64"/>
        <v>0</v>
      </c>
      <c r="AT177" s="384">
        <f t="shared" si="65"/>
      </c>
      <c r="AU177" s="385">
        <f t="shared" si="66"/>
        <v>0</v>
      </c>
      <c r="AV177" s="36">
        <v>120</v>
      </c>
    </row>
    <row r="178" spans="1:48" ht="12.75">
      <c r="A178" s="443">
        <f t="shared" si="67"/>
        <v>162</v>
      </c>
      <c r="B178" s="498">
        <f t="shared" si="45"/>
        <v>0</v>
      </c>
      <c r="C178" s="499"/>
      <c r="D178" s="498">
        <f t="shared" si="46"/>
        <v>0</v>
      </c>
      <c r="E178" s="500"/>
      <c r="F178" s="500">
        <f t="shared" si="47"/>
        <v>0</v>
      </c>
      <c r="G178" s="500"/>
      <c r="H178" s="500">
        <f t="shared" si="48"/>
        <v>0</v>
      </c>
      <c r="I178" s="501"/>
      <c r="J178" s="505">
        <f t="shared" si="49"/>
        <v>0</v>
      </c>
      <c r="K178" s="501"/>
      <c r="L178" s="502"/>
      <c r="M178" s="501"/>
      <c r="N178" s="500">
        <v>0</v>
      </c>
      <c r="O178" s="6"/>
      <c r="P178" s="457">
        <f t="shared" si="50"/>
        <v>0</v>
      </c>
      <c r="Q178" s="1"/>
      <c r="R178" s="500">
        <f t="shared" si="51"/>
        <v>0</v>
      </c>
      <c r="S178" s="500"/>
      <c r="T178" s="500">
        <f>IF(B178&lt;=0,0,B178*IF('Simulador 7x5'!$Y$81=1,0,'Simulador 7x5'!$U$75))</f>
        <v>0</v>
      </c>
      <c r="U178" s="500"/>
      <c r="V178" s="513">
        <f>IF(B178&lt;=0,0,IF('Simulador 7x5'!$T$41=1,'Simulador 7x5'!$E$55,'Simulador 7x5'!$G$55))</f>
        <v>0</v>
      </c>
      <c r="W178" s="500"/>
      <c r="X178" s="500">
        <f t="shared" si="52"/>
        <v>0</v>
      </c>
      <c r="Y178" s="7"/>
      <c r="Z178" s="12"/>
      <c r="AA178" s="17"/>
      <c r="AB178" s="2">
        <f t="shared" si="53"/>
        <v>0</v>
      </c>
      <c r="AC178" s="21">
        <f t="shared" si="68"/>
        <v>0</v>
      </c>
      <c r="AD178" s="380">
        <f t="shared" si="54"/>
        <v>0</v>
      </c>
      <c r="AE178" s="380">
        <f t="shared" si="55"/>
        <v>0</v>
      </c>
      <c r="AF178" s="381">
        <f t="shared" si="56"/>
        <v>0</v>
      </c>
      <c r="AG178" s="380">
        <f t="shared" si="57"/>
        <v>0</v>
      </c>
      <c r="AH178" s="380">
        <f t="shared" si="58"/>
        <v>0</v>
      </c>
      <c r="AI178" s="380">
        <f>IF(AD178&lt;=0,0,AD178*IF('Simulador 7x5'!$Y$81=1,0,'Simulador 7x5'!$U$75))+IF(AD178&lt;=0,0,IF('Simulador 7x5'!$T$41=1,'Simulador 7x5'!$E$55,'Simulador 7x5'!$G$55))</f>
        <v>0</v>
      </c>
      <c r="AJ178" s="380">
        <f t="shared" si="59"/>
        <v>0</v>
      </c>
      <c r="AK178" s="109">
        <f t="shared" si="60"/>
        <v>0</v>
      </c>
      <c r="AM178" s="141">
        <v>13</v>
      </c>
      <c r="AN178" s="2">
        <v>0</v>
      </c>
      <c r="AO178" s="329">
        <f t="shared" si="61"/>
        <v>0</v>
      </c>
      <c r="AP178" s="329">
        <f t="shared" si="62"/>
        <v>0</v>
      </c>
      <c r="AQ178" s="20">
        <f t="shared" si="63"/>
        <v>0</v>
      </c>
      <c r="AR178" s="36"/>
      <c r="AS178">
        <f t="shared" si="64"/>
        <v>0</v>
      </c>
      <c r="AT178" s="384">
        <f t="shared" si="65"/>
      </c>
      <c r="AU178" s="385">
        <f t="shared" si="66"/>
        <v>0</v>
      </c>
      <c r="AV178" s="36">
        <v>120</v>
      </c>
    </row>
    <row r="179" spans="1:48" ht="12.75">
      <c r="A179" s="443">
        <f t="shared" si="67"/>
        <v>163</v>
      </c>
      <c r="B179" s="498">
        <f t="shared" si="45"/>
        <v>0</v>
      </c>
      <c r="C179" s="499"/>
      <c r="D179" s="498">
        <f t="shared" si="46"/>
        <v>0</v>
      </c>
      <c r="E179" s="500"/>
      <c r="F179" s="500">
        <f t="shared" si="47"/>
        <v>0</v>
      </c>
      <c r="G179" s="500"/>
      <c r="H179" s="500">
        <f t="shared" si="48"/>
        <v>0</v>
      </c>
      <c r="I179" s="501"/>
      <c r="J179" s="505">
        <f t="shared" si="49"/>
        <v>0</v>
      </c>
      <c r="K179" s="501"/>
      <c r="L179" s="502"/>
      <c r="M179" s="501"/>
      <c r="N179" s="500">
        <v>0</v>
      </c>
      <c r="O179" s="6"/>
      <c r="P179" s="457">
        <f t="shared" si="50"/>
        <v>0</v>
      </c>
      <c r="Q179" s="1"/>
      <c r="R179" s="500">
        <f t="shared" si="51"/>
        <v>0</v>
      </c>
      <c r="S179" s="500"/>
      <c r="T179" s="500">
        <f>IF(B179&lt;=0,0,B179*IF('Simulador 7x5'!$Y$81=1,0,'Simulador 7x5'!$U$75))</f>
        <v>0</v>
      </c>
      <c r="U179" s="500"/>
      <c r="V179" s="513">
        <f>IF(B179&lt;=0,0,IF('Simulador 7x5'!$T$41=1,'Simulador 7x5'!$E$55,'Simulador 7x5'!$G$55))</f>
        <v>0</v>
      </c>
      <c r="W179" s="500"/>
      <c r="X179" s="500">
        <f t="shared" si="52"/>
        <v>0</v>
      </c>
      <c r="Y179" s="7"/>
      <c r="Z179" s="12"/>
      <c r="AA179" s="17"/>
      <c r="AB179" s="2">
        <f t="shared" si="53"/>
        <v>0</v>
      </c>
      <c r="AC179" s="21">
        <f t="shared" si="68"/>
        <v>0</v>
      </c>
      <c r="AD179" s="380">
        <f t="shared" si="54"/>
        <v>0</v>
      </c>
      <c r="AE179" s="380">
        <f t="shared" si="55"/>
        <v>0</v>
      </c>
      <c r="AF179" s="381">
        <f t="shared" si="56"/>
        <v>0</v>
      </c>
      <c r="AG179" s="380">
        <f t="shared" si="57"/>
        <v>0</v>
      </c>
      <c r="AH179" s="380">
        <f t="shared" si="58"/>
        <v>0</v>
      </c>
      <c r="AI179" s="380">
        <f>IF(AD179&lt;=0,0,AD179*IF('Simulador 7x5'!$Y$81=1,0,'Simulador 7x5'!$U$75))+IF(AD179&lt;=0,0,IF('Simulador 7x5'!$T$41=1,'Simulador 7x5'!$E$55,'Simulador 7x5'!$G$55))</f>
        <v>0</v>
      </c>
      <c r="AJ179" s="380">
        <f t="shared" si="59"/>
        <v>0</v>
      </c>
      <c r="AK179" s="109">
        <f t="shared" si="60"/>
        <v>0</v>
      </c>
      <c r="AM179" s="141">
        <v>13</v>
      </c>
      <c r="AN179" s="2">
        <v>0</v>
      </c>
      <c r="AO179" s="329">
        <f t="shared" si="61"/>
        <v>0</v>
      </c>
      <c r="AP179" s="329">
        <f t="shared" si="62"/>
        <v>0</v>
      </c>
      <c r="AQ179" s="20">
        <f t="shared" si="63"/>
        <v>0</v>
      </c>
      <c r="AR179" s="36"/>
      <c r="AS179">
        <f t="shared" si="64"/>
        <v>0</v>
      </c>
      <c r="AT179" s="384">
        <f t="shared" si="65"/>
      </c>
      <c r="AU179" s="385">
        <f t="shared" si="66"/>
        <v>0</v>
      </c>
      <c r="AV179" s="36">
        <v>120</v>
      </c>
    </row>
    <row r="180" spans="1:48" ht="12.75">
      <c r="A180" s="443">
        <f t="shared" si="67"/>
        <v>164</v>
      </c>
      <c r="B180" s="498">
        <f t="shared" si="45"/>
        <v>0</v>
      </c>
      <c r="C180" s="499"/>
      <c r="D180" s="498">
        <f t="shared" si="46"/>
        <v>0</v>
      </c>
      <c r="E180" s="500"/>
      <c r="F180" s="500">
        <f t="shared" si="47"/>
        <v>0</v>
      </c>
      <c r="G180" s="500"/>
      <c r="H180" s="500">
        <f t="shared" si="48"/>
        <v>0</v>
      </c>
      <c r="I180" s="501"/>
      <c r="J180" s="505">
        <f t="shared" si="49"/>
        <v>0</v>
      </c>
      <c r="K180" s="501"/>
      <c r="L180" s="502"/>
      <c r="M180" s="501"/>
      <c r="N180" s="500">
        <v>0</v>
      </c>
      <c r="O180" s="6"/>
      <c r="P180" s="457">
        <f t="shared" si="50"/>
        <v>0</v>
      </c>
      <c r="Q180" s="1"/>
      <c r="R180" s="500">
        <f t="shared" si="51"/>
        <v>0</v>
      </c>
      <c r="S180" s="500"/>
      <c r="T180" s="500">
        <f>IF(B180&lt;=0,0,B180*IF('Simulador 7x5'!$Y$81=1,0,'Simulador 7x5'!$U$75))</f>
        <v>0</v>
      </c>
      <c r="U180" s="500"/>
      <c r="V180" s="513">
        <f>IF(B180&lt;=0,0,IF('Simulador 7x5'!$T$41=1,'Simulador 7x5'!$E$55,'Simulador 7x5'!$G$55))</f>
        <v>0</v>
      </c>
      <c r="W180" s="500"/>
      <c r="X180" s="500">
        <f t="shared" si="52"/>
        <v>0</v>
      </c>
      <c r="Y180" s="7"/>
      <c r="Z180" s="12"/>
      <c r="AA180" s="17"/>
      <c r="AB180" s="2">
        <f t="shared" si="53"/>
        <v>0</v>
      </c>
      <c r="AC180" s="21">
        <f t="shared" si="68"/>
        <v>0</v>
      </c>
      <c r="AD180" s="380">
        <f t="shared" si="54"/>
        <v>0</v>
      </c>
      <c r="AE180" s="380">
        <f t="shared" si="55"/>
        <v>0</v>
      </c>
      <c r="AF180" s="381">
        <f t="shared" si="56"/>
        <v>0</v>
      </c>
      <c r="AG180" s="380">
        <f t="shared" si="57"/>
        <v>0</v>
      </c>
      <c r="AH180" s="380">
        <f t="shared" si="58"/>
        <v>0</v>
      </c>
      <c r="AI180" s="380">
        <f>IF(AD180&lt;=0,0,AD180*IF('Simulador 7x5'!$Y$81=1,0,'Simulador 7x5'!$U$75))+IF(AD180&lt;=0,0,IF('Simulador 7x5'!$T$41=1,'Simulador 7x5'!$E$55,'Simulador 7x5'!$G$55))</f>
        <v>0</v>
      </c>
      <c r="AJ180" s="380">
        <f t="shared" si="59"/>
        <v>0</v>
      </c>
      <c r="AK180" s="109">
        <f t="shared" si="60"/>
        <v>0</v>
      </c>
      <c r="AM180" s="141">
        <v>13</v>
      </c>
      <c r="AN180" s="2">
        <v>0</v>
      </c>
      <c r="AO180" s="329">
        <f t="shared" si="61"/>
        <v>0</v>
      </c>
      <c r="AP180" s="329">
        <f t="shared" si="62"/>
        <v>0</v>
      </c>
      <c r="AQ180" s="20">
        <f t="shared" si="63"/>
        <v>0</v>
      </c>
      <c r="AR180" s="36"/>
      <c r="AS180">
        <f t="shared" si="64"/>
        <v>0</v>
      </c>
      <c r="AT180" s="384">
        <f t="shared" si="65"/>
      </c>
      <c r="AU180" s="385">
        <f t="shared" si="66"/>
        <v>0</v>
      </c>
      <c r="AV180" s="36">
        <v>120</v>
      </c>
    </row>
    <row r="181" spans="1:48" ht="12.75">
      <c r="A181" s="443">
        <f t="shared" si="67"/>
        <v>165</v>
      </c>
      <c r="B181" s="498">
        <f t="shared" si="45"/>
        <v>0</v>
      </c>
      <c r="C181" s="499"/>
      <c r="D181" s="498">
        <f t="shared" si="46"/>
        <v>0</v>
      </c>
      <c r="E181" s="500"/>
      <c r="F181" s="500">
        <f t="shared" si="47"/>
        <v>0</v>
      </c>
      <c r="G181" s="500"/>
      <c r="H181" s="500">
        <f t="shared" si="48"/>
        <v>0</v>
      </c>
      <c r="I181" s="501"/>
      <c r="J181" s="505">
        <f t="shared" si="49"/>
        <v>0</v>
      </c>
      <c r="K181" s="501"/>
      <c r="L181" s="502"/>
      <c r="M181" s="501"/>
      <c r="N181" s="500">
        <v>0</v>
      </c>
      <c r="O181" s="6"/>
      <c r="P181" s="457">
        <f t="shared" si="50"/>
        <v>0</v>
      </c>
      <c r="Q181" s="1"/>
      <c r="R181" s="500">
        <f t="shared" si="51"/>
        <v>0</v>
      </c>
      <c r="S181" s="500"/>
      <c r="T181" s="500">
        <f>IF(B181&lt;=0,0,B181*IF('Simulador 7x5'!$Y$81=1,0,'Simulador 7x5'!$U$75))</f>
        <v>0</v>
      </c>
      <c r="U181" s="500"/>
      <c r="V181" s="513">
        <f>IF(B181&lt;=0,0,IF('Simulador 7x5'!$T$41=1,'Simulador 7x5'!$E$55,'Simulador 7x5'!$G$55))</f>
        <v>0</v>
      </c>
      <c r="W181" s="500"/>
      <c r="X181" s="500">
        <f t="shared" si="52"/>
        <v>0</v>
      </c>
      <c r="Y181" s="7"/>
      <c r="Z181" s="12"/>
      <c r="AA181" s="17"/>
      <c r="AB181" s="2">
        <f t="shared" si="53"/>
        <v>0</v>
      </c>
      <c r="AC181" s="21">
        <f t="shared" si="68"/>
        <v>0</v>
      </c>
      <c r="AD181" s="380">
        <f t="shared" si="54"/>
        <v>0</v>
      </c>
      <c r="AE181" s="380">
        <f t="shared" si="55"/>
        <v>0</v>
      </c>
      <c r="AF181" s="381">
        <f t="shared" si="56"/>
        <v>0</v>
      </c>
      <c r="AG181" s="380">
        <f t="shared" si="57"/>
        <v>0</v>
      </c>
      <c r="AH181" s="380">
        <f t="shared" si="58"/>
        <v>0</v>
      </c>
      <c r="AI181" s="380">
        <f>IF(AD181&lt;=0,0,AD181*IF('Simulador 7x5'!$Y$81=1,0,'Simulador 7x5'!$U$75))+IF(AD181&lt;=0,0,IF('Simulador 7x5'!$T$41=1,'Simulador 7x5'!$E$55,'Simulador 7x5'!$G$55))</f>
        <v>0</v>
      </c>
      <c r="AJ181" s="380">
        <f t="shared" si="59"/>
        <v>0</v>
      </c>
      <c r="AK181" s="109">
        <f t="shared" si="60"/>
        <v>0</v>
      </c>
      <c r="AM181" s="141">
        <v>13</v>
      </c>
      <c r="AN181" s="2">
        <v>0</v>
      </c>
      <c r="AO181" s="329">
        <f t="shared" si="61"/>
        <v>0</v>
      </c>
      <c r="AP181" s="329">
        <f t="shared" si="62"/>
        <v>0</v>
      </c>
      <c r="AQ181" s="20">
        <f t="shared" si="63"/>
        <v>0</v>
      </c>
      <c r="AR181" s="36"/>
      <c r="AS181">
        <f t="shared" si="64"/>
        <v>0</v>
      </c>
      <c r="AT181" s="384">
        <f t="shared" si="65"/>
      </c>
      <c r="AU181" s="385">
        <f t="shared" si="66"/>
        <v>0</v>
      </c>
      <c r="AV181" s="36">
        <v>120</v>
      </c>
    </row>
    <row r="182" spans="1:48" ht="12.75">
      <c r="A182" s="443">
        <f t="shared" si="67"/>
        <v>166</v>
      </c>
      <c r="B182" s="498">
        <f t="shared" si="45"/>
        <v>0</v>
      </c>
      <c r="C182" s="499"/>
      <c r="D182" s="498">
        <f t="shared" si="46"/>
        <v>0</v>
      </c>
      <c r="E182" s="500"/>
      <c r="F182" s="500">
        <f t="shared" si="47"/>
        <v>0</v>
      </c>
      <c r="G182" s="500"/>
      <c r="H182" s="500">
        <f t="shared" si="48"/>
        <v>0</v>
      </c>
      <c r="I182" s="501"/>
      <c r="J182" s="505">
        <f t="shared" si="49"/>
        <v>0</v>
      </c>
      <c r="K182" s="501"/>
      <c r="L182" s="502"/>
      <c r="M182" s="501"/>
      <c r="N182" s="500">
        <v>0</v>
      </c>
      <c r="O182" s="6"/>
      <c r="P182" s="457">
        <f t="shared" si="50"/>
        <v>0</v>
      </c>
      <c r="Q182" s="1"/>
      <c r="R182" s="500">
        <f t="shared" si="51"/>
        <v>0</v>
      </c>
      <c r="S182" s="500"/>
      <c r="T182" s="500">
        <f>IF(B182&lt;=0,0,B182*IF('Simulador 7x5'!$Y$81=1,0,'Simulador 7x5'!$U$75))</f>
        <v>0</v>
      </c>
      <c r="U182" s="500"/>
      <c r="V182" s="513">
        <f>IF(B182&lt;=0,0,IF('Simulador 7x5'!$T$41=1,'Simulador 7x5'!$E$55,'Simulador 7x5'!$G$55))</f>
        <v>0</v>
      </c>
      <c r="W182" s="500"/>
      <c r="X182" s="500">
        <f t="shared" si="52"/>
        <v>0</v>
      </c>
      <c r="Y182" s="7"/>
      <c r="Z182" s="12"/>
      <c r="AA182" s="17"/>
      <c r="AB182" s="2">
        <f t="shared" si="53"/>
        <v>0</v>
      </c>
      <c r="AC182" s="21">
        <f t="shared" si="68"/>
        <v>0</v>
      </c>
      <c r="AD182" s="380">
        <f t="shared" si="54"/>
        <v>0</v>
      </c>
      <c r="AE182" s="380">
        <f t="shared" si="55"/>
        <v>0</v>
      </c>
      <c r="AF182" s="381">
        <f t="shared" si="56"/>
        <v>0</v>
      </c>
      <c r="AG182" s="380">
        <f t="shared" si="57"/>
        <v>0</v>
      </c>
      <c r="AH182" s="380">
        <f t="shared" si="58"/>
        <v>0</v>
      </c>
      <c r="AI182" s="380">
        <f>IF(AD182&lt;=0,0,AD182*IF('Simulador 7x5'!$Y$81=1,0,'Simulador 7x5'!$U$75))+IF(AD182&lt;=0,0,IF('Simulador 7x5'!$T$41=1,'Simulador 7x5'!$E$55,'Simulador 7x5'!$G$55))</f>
        <v>0</v>
      </c>
      <c r="AJ182" s="380">
        <f t="shared" si="59"/>
        <v>0</v>
      </c>
      <c r="AK182" s="109">
        <f t="shared" si="60"/>
        <v>0</v>
      </c>
      <c r="AM182" s="141">
        <v>13</v>
      </c>
      <c r="AN182" s="2">
        <v>0</v>
      </c>
      <c r="AO182" s="329">
        <f t="shared" si="61"/>
        <v>0</v>
      </c>
      <c r="AP182" s="329">
        <f t="shared" si="62"/>
        <v>0</v>
      </c>
      <c r="AQ182" s="20">
        <f t="shared" si="63"/>
        <v>0</v>
      </c>
      <c r="AR182" s="36"/>
      <c r="AS182">
        <f t="shared" si="64"/>
        <v>0</v>
      </c>
      <c r="AT182" s="384">
        <f t="shared" si="65"/>
      </c>
      <c r="AU182" s="385">
        <f t="shared" si="66"/>
        <v>0</v>
      </c>
      <c r="AV182" s="36">
        <v>120</v>
      </c>
    </row>
    <row r="183" spans="1:48" ht="12.75">
      <c r="A183" s="443">
        <f t="shared" si="67"/>
        <v>167</v>
      </c>
      <c r="B183" s="498">
        <f t="shared" si="45"/>
        <v>0</v>
      </c>
      <c r="C183" s="499"/>
      <c r="D183" s="498">
        <f t="shared" si="46"/>
        <v>0</v>
      </c>
      <c r="E183" s="500"/>
      <c r="F183" s="500">
        <f t="shared" si="47"/>
        <v>0</v>
      </c>
      <c r="G183" s="500"/>
      <c r="H183" s="500">
        <f t="shared" si="48"/>
        <v>0</v>
      </c>
      <c r="I183" s="501"/>
      <c r="J183" s="505">
        <f t="shared" si="49"/>
        <v>0</v>
      </c>
      <c r="K183" s="501"/>
      <c r="L183" s="502"/>
      <c r="M183" s="501"/>
      <c r="N183" s="500">
        <v>0</v>
      </c>
      <c r="O183" s="6"/>
      <c r="P183" s="457">
        <f t="shared" si="50"/>
        <v>0</v>
      </c>
      <c r="Q183" s="1"/>
      <c r="R183" s="500">
        <f t="shared" si="51"/>
        <v>0</v>
      </c>
      <c r="S183" s="500"/>
      <c r="T183" s="500">
        <f>IF(B183&lt;=0,0,B183*IF('Simulador 7x5'!$Y$81=1,0,'Simulador 7x5'!$U$75))</f>
        <v>0</v>
      </c>
      <c r="U183" s="500"/>
      <c r="V183" s="513">
        <f>IF(B183&lt;=0,0,IF('Simulador 7x5'!$T$41=1,'Simulador 7x5'!$E$55,'Simulador 7x5'!$G$55))</f>
        <v>0</v>
      </c>
      <c r="W183" s="500"/>
      <c r="X183" s="500">
        <f t="shared" si="52"/>
        <v>0</v>
      </c>
      <c r="Y183" s="7"/>
      <c r="Z183" s="12"/>
      <c r="AA183" s="17"/>
      <c r="AB183" s="2">
        <f t="shared" si="53"/>
        <v>0</v>
      </c>
      <c r="AC183" s="21">
        <f t="shared" si="68"/>
        <v>0</v>
      </c>
      <c r="AD183" s="380">
        <f t="shared" si="54"/>
        <v>0</v>
      </c>
      <c r="AE183" s="380">
        <f t="shared" si="55"/>
        <v>0</v>
      </c>
      <c r="AF183" s="381">
        <f t="shared" si="56"/>
        <v>0</v>
      </c>
      <c r="AG183" s="380">
        <f t="shared" si="57"/>
        <v>0</v>
      </c>
      <c r="AH183" s="380">
        <f t="shared" si="58"/>
        <v>0</v>
      </c>
      <c r="AI183" s="380">
        <f>IF(AD183&lt;=0,0,AD183*IF('Simulador 7x5'!$Y$81=1,0,'Simulador 7x5'!$U$75))+IF(AD183&lt;=0,0,IF('Simulador 7x5'!$T$41=1,'Simulador 7x5'!$E$55,'Simulador 7x5'!$G$55))</f>
        <v>0</v>
      </c>
      <c r="AJ183" s="380">
        <f t="shared" si="59"/>
        <v>0</v>
      </c>
      <c r="AK183" s="109">
        <f t="shared" si="60"/>
        <v>0</v>
      </c>
      <c r="AM183" s="141">
        <v>13</v>
      </c>
      <c r="AN183" s="2">
        <v>0</v>
      </c>
      <c r="AO183" s="329">
        <f t="shared" si="61"/>
        <v>0</v>
      </c>
      <c r="AP183" s="329">
        <f t="shared" si="62"/>
        <v>0</v>
      </c>
      <c r="AQ183" s="20">
        <f t="shared" si="63"/>
        <v>0</v>
      </c>
      <c r="AR183" s="36"/>
      <c r="AS183">
        <f t="shared" si="64"/>
        <v>0</v>
      </c>
      <c r="AT183" s="384">
        <f t="shared" si="65"/>
      </c>
      <c r="AU183" s="385">
        <f t="shared" si="66"/>
        <v>0</v>
      </c>
      <c r="AV183" s="36">
        <v>120</v>
      </c>
    </row>
    <row r="184" spans="1:48" ht="12.75">
      <c r="A184" s="443">
        <f t="shared" si="67"/>
        <v>168</v>
      </c>
      <c r="B184" s="498">
        <f t="shared" si="45"/>
        <v>0</v>
      </c>
      <c r="C184" s="499"/>
      <c r="D184" s="498">
        <f t="shared" si="46"/>
        <v>0</v>
      </c>
      <c r="E184" s="500"/>
      <c r="F184" s="500">
        <f t="shared" si="47"/>
        <v>0</v>
      </c>
      <c r="G184" s="500"/>
      <c r="H184" s="500">
        <f t="shared" si="48"/>
        <v>0</v>
      </c>
      <c r="I184" s="501"/>
      <c r="J184" s="505">
        <f t="shared" si="49"/>
        <v>0</v>
      </c>
      <c r="K184" s="501"/>
      <c r="L184" s="502"/>
      <c r="M184" s="501"/>
      <c r="N184" s="500">
        <v>0</v>
      </c>
      <c r="O184" s="6"/>
      <c r="P184" s="457">
        <f t="shared" si="50"/>
        <v>0</v>
      </c>
      <c r="Q184" s="1"/>
      <c r="R184" s="500">
        <f t="shared" si="51"/>
        <v>0</v>
      </c>
      <c r="S184" s="500"/>
      <c r="T184" s="500">
        <f>IF(B184&lt;=0,0,B184*IF('Simulador 7x5'!$Y$81=1,0,'Simulador 7x5'!$U$75))</f>
        <v>0</v>
      </c>
      <c r="U184" s="500"/>
      <c r="V184" s="513">
        <f>IF(B184&lt;=0,0,IF('Simulador 7x5'!$T$41=1,'Simulador 7x5'!$E$55,'Simulador 7x5'!$G$55))</f>
        <v>0</v>
      </c>
      <c r="W184" s="500"/>
      <c r="X184" s="500">
        <f t="shared" si="52"/>
        <v>0</v>
      </c>
      <c r="Y184" s="7"/>
      <c r="Z184" s="12"/>
      <c r="AA184" s="17"/>
      <c r="AB184" s="2">
        <f t="shared" si="53"/>
        <v>0</v>
      </c>
      <c r="AC184" s="21">
        <f t="shared" si="68"/>
        <v>0</v>
      </c>
      <c r="AD184" s="380">
        <f t="shared" si="54"/>
        <v>0</v>
      </c>
      <c r="AE184" s="380">
        <f t="shared" si="55"/>
        <v>0</v>
      </c>
      <c r="AF184" s="381">
        <f t="shared" si="56"/>
        <v>0</v>
      </c>
      <c r="AG184" s="380">
        <f t="shared" si="57"/>
        <v>0</v>
      </c>
      <c r="AH184" s="380">
        <f t="shared" si="58"/>
        <v>0</v>
      </c>
      <c r="AI184" s="380">
        <f>IF(AD184&lt;=0,0,AD184*IF('Simulador 7x5'!$Y$81=1,0,'Simulador 7x5'!$U$75))+IF(AD184&lt;=0,0,IF('Simulador 7x5'!$T$41=1,'Simulador 7x5'!$E$55,'Simulador 7x5'!$G$55))</f>
        <v>0</v>
      </c>
      <c r="AJ184" s="380">
        <f t="shared" si="59"/>
        <v>0</v>
      </c>
      <c r="AK184" s="109">
        <f t="shared" si="60"/>
        <v>0</v>
      </c>
      <c r="AM184" s="141">
        <v>14</v>
      </c>
      <c r="AN184" s="2">
        <v>0</v>
      </c>
      <c r="AO184" s="329">
        <f t="shared" si="61"/>
        <v>0</v>
      </c>
      <c r="AP184" s="329">
        <f t="shared" si="62"/>
        <v>0</v>
      </c>
      <c r="AQ184" s="20">
        <f t="shared" si="63"/>
        <v>0</v>
      </c>
      <c r="AR184" s="36"/>
      <c r="AS184">
        <f t="shared" si="64"/>
        <v>0</v>
      </c>
      <c r="AT184" s="384">
        <f t="shared" si="65"/>
      </c>
      <c r="AU184" s="385">
        <f t="shared" si="66"/>
        <v>0</v>
      </c>
      <c r="AV184" s="36">
        <v>120</v>
      </c>
    </row>
    <row r="185" spans="1:48" ht="12.75">
      <c r="A185" s="443">
        <f t="shared" si="67"/>
        <v>169</v>
      </c>
      <c r="B185" s="498">
        <f t="shared" si="45"/>
        <v>0</v>
      </c>
      <c r="C185" s="499"/>
      <c r="D185" s="498">
        <f t="shared" si="46"/>
        <v>0</v>
      </c>
      <c r="E185" s="500"/>
      <c r="F185" s="500">
        <f t="shared" si="47"/>
        <v>0</v>
      </c>
      <c r="G185" s="500"/>
      <c r="H185" s="500">
        <f t="shared" si="48"/>
        <v>0</v>
      </c>
      <c r="I185" s="501"/>
      <c r="J185" s="505">
        <f t="shared" si="49"/>
        <v>0</v>
      </c>
      <c r="K185" s="501"/>
      <c r="L185" s="502"/>
      <c r="M185" s="501"/>
      <c r="N185" s="500">
        <v>0</v>
      </c>
      <c r="O185" s="6"/>
      <c r="P185" s="457">
        <f t="shared" si="50"/>
        <v>0</v>
      </c>
      <c r="Q185" s="1"/>
      <c r="R185" s="500">
        <f t="shared" si="51"/>
        <v>0</v>
      </c>
      <c r="S185" s="500"/>
      <c r="T185" s="500">
        <f>IF(B185&lt;=0,0,B185*IF('Simulador 7x5'!$Y$81=1,0,'Simulador 7x5'!$U$75))</f>
        <v>0</v>
      </c>
      <c r="U185" s="500"/>
      <c r="V185" s="513">
        <f>IF(B185&lt;=0,0,IF('Simulador 7x5'!$T$41=1,'Simulador 7x5'!$E$55,'Simulador 7x5'!$G$55))</f>
        <v>0</v>
      </c>
      <c r="W185" s="500"/>
      <c r="X185" s="500">
        <f t="shared" si="52"/>
        <v>0</v>
      </c>
      <c r="Y185" s="7"/>
      <c r="Z185" s="12"/>
      <c r="AA185" s="17"/>
      <c r="AB185" s="2">
        <f t="shared" si="53"/>
        <v>0</v>
      </c>
      <c r="AC185" s="21">
        <f t="shared" si="68"/>
        <v>0</v>
      </c>
      <c r="AD185" s="380">
        <f t="shared" si="54"/>
        <v>0</v>
      </c>
      <c r="AE185" s="380">
        <f t="shared" si="55"/>
        <v>0</v>
      </c>
      <c r="AF185" s="381">
        <f t="shared" si="56"/>
        <v>0</v>
      </c>
      <c r="AG185" s="380">
        <f t="shared" si="57"/>
        <v>0</v>
      </c>
      <c r="AH185" s="380">
        <f t="shared" si="58"/>
        <v>0</v>
      </c>
      <c r="AI185" s="380">
        <f>IF(AD185&lt;=0,0,AD185*IF('Simulador 7x5'!$Y$81=1,0,'Simulador 7x5'!$U$75))+IF(AD185&lt;=0,0,IF('Simulador 7x5'!$T$41=1,'Simulador 7x5'!$E$55,'Simulador 7x5'!$G$55))</f>
        <v>0</v>
      </c>
      <c r="AJ185" s="380">
        <f t="shared" si="59"/>
        <v>0</v>
      </c>
      <c r="AK185" s="109">
        <f t="shared" si="60"/>
        <v>0</v>
      </c>
      <c r="AM185" s="141">
        <v>14</v>
      </c>
      <c r="AN185" s="2">
        <v>0</v>
      </c>
      <c r="AO185" s="329">
        <f t="shared" si="61"/>
        <v>0</v>
      </c>
      <c r="AP185" s="329">
        <f t="shared" si="62"/>
        <v>0</v>
      </c>
      <c r="AQ185" s="20">
        <f t="shared" si="63"/>
        <v>0</v>
      </c>
      <c r="AR185" s="36"/>
      <c r="AS185">
        <f t="shared" si="64"/>
        <v>0</v>
      </c>
      <c r="AT185" s="384">
        <f t="shared" si="65"/>
      </c>
      <c r="AU185" s="385">
        <f t="shared" si="66"/>
        <v>0</v>
      </c>
      <c r="AV185" s="36">
        <v>120</v>
      </c>
    </row>
    <row r="186" spans="1:48" ht="12.75">
      <c r="A186" s="443">
        <f t="shared" si="67"/>
        <v>170</v>
      </c>
      <c r="B186" s="498">
        <f t="shared" si="45"/>
        <v>0</v>
      </c>
      <c r="C186" s="499"/>
      <c r="D186" s="498">
        <f t="shared" si="46"/>
        <v>0</v>
      </c>
      <c r="E186" s="500"/>
      <c r="F186" s="500">
        <f t="shared" si="47"/>
        <v>0</v>
      </c>
      <c r="G186" s="500"/>
      <c r="H186" s="500">
        <f t="shared" si="48"/>
        <v>0</v>
      </c>
      <c r="I186" s="501"/>
      <c r="J186" s="505">
        <f t="shared" si="49"/>
        <v>0</v>
      </c>
      <c r="K186" s="501"/>
      <c r="L186" s="502"/>
      <c r="M186" s="501"/>
      <c r="N186" s="500">
        <v>0</v>
      </c>
      <c r="O186" s="6"/>
      <c r="P186" s="457">
        <f t="shared" si="50"/>
        <v>0</v>
      </c>
      <c r="Q186" s="1"/>
      <c r="R186" s="500">
        <f t="shared" si="51"/>
        <v>0</v>
      </c>
      <c r="S186" s="500"/>
      <c r="T186" s="500">
        <f>IF(B186&lt;=0,0,B186*IF('Simulador 7x5'!$Y$81=1,0,'Simulador 7x5'!$U$75))</f>
        <v>0</v>
      </c>
      <c r="U186" s="500"/>
      <c r="V186" s="513">
        <f>IF(B186&lt;=0,0,IF('Simulador 7x5'!$T$41=1,'Simulador 7x5'!$E$55,'Simulador 7x5'!$G$55))</f>
        <v>0</v>
      </c>
      <c r="W186" s="500"/>
      <c r="X186" s="500">
        <f t="shared" si="52"/>
        <v>0</v>
      </c>
      <c r="Y186" s="7"/>
      <c r="Z186" s="12"/>
      <c r="AA186" s="17"/>
      <c r="AB186" s="2">
        <f t="shared" si="53"/>
        <v>0</v>
      </c>
      <c r="AC186" s="21">
        <f t="shared" si="68"/>
        <v>0</v>
      </c>
      <c r="AD186" s="380">
        <f t="shared" si="54"/>
        <v>0</v>
      </c>
      <c r="AE186" s="380">
        <f t="shared" si="55"/>
        <v>0</v>
      </c>
      <c r="AF186" s="381">
        <f t="shared" si="56"/>
        <v>0</v>
      </c>
      <c r="AG186" s="380">
        <f t="shared" si="57"/>
        <v>0</v>
      </c>
      <c r="AH186" s="380">
        <f t="shared" si="58"/>
        <v>0</v>
      </c>
      <c r="AI186" s="380">
        <f>IF(AD186&lt;=0,0,AD186*IF('Simulador 7x5'!$Y$81=1,0,'Simulador 7x5'!$U$75))+IF(AD186&lt;=0,0,IF('Simulador 7x5'!$T$41=1,'Simulador 7x5'!$E$55,'Simulador 7x5'!$G$55))</f>
        <v>0</v>
      </c>
      <c r="AJ186" s="380">
        <f t="shared" si="59"/>
        <v>0</v>
      </c>
      <c r="AK186" s="109">
        <f t="shared" si="60"/>
        <v>0</v>
      </c>
      <c r="AM186" s="141">
        <v>14</v>
      </c>
      <c r="AN186" s="2">
        <v>0</v>
      </c>
      <c r="AO186" s="329">
        <f t="shared" si="61"/>
        <v>0</v>
      </c>
      <c r="AP186" s="329">
        <f t="shared" si="62"/>
        <v>0</v>
      </c>
      <c r="AQ186" s="20">
        <f t="shared" si="63"/>
        <v>0</v>
      </c>
      <c r="AR186" s="36"/>
      <c r="AS186">
        <f t="shared" si="64"/>
        <v>0</v>
      </c>
      <c r="AT186" s="384">
        <f t="shared" si="65"/>
      </c>
      <c r="AU186" s="385">
        <f t="shared" si="66"/>
        <v>0</v>
      </c>
      <c r="AV186" s="36">
        <v>120</v>
      </c>
    </row>
    <row r="187" spans="1:48" ht="12.75">
      <c r="A187" s="443">
        <f t="shared" si="67"/>
        <v>171</v>
      </c>
      <c r="B187" s="498">
        <f t="shared" si="45"/>
        <v>0</v>
      </c>
      <c r="C187" s="499"/>
      <c r="D187" s="498">
        <f t="shared" si="46"/>
        <v>0</v>
      </c>
      <c r="E187" s="500"/>
      <c r="F187" s="500">
        <f t="shared" si="47"/>
        <v>0</v>
      </c>
      <c r="G187" s="500"/>
      <c r="H187" s="500">
        <f t="shared" si="48"/>
        <v>0</v>
      </c>
      <c r="I187" s="501"/>
      <c r="J187" s="505">
        <f t="shared" si="49"/>
        <v>0</v>
      </c>
      <c r="K187" s="501"/>
      <c r="L187" s="502"/>
      <c r="M187" s="501"/>
      <c r="N187" s="500">
        <v>0</v>
      </c>
      <c r="O187" s="6"/>
      <c r="P187" s="457">
        <f t="shared" si="50"/>
        <v>0</v>
      </c>
      <c r="Q187" s="1"/>
      <c r="R187" s="500">
        <f t="shared" si="51"/>
        <v>0</v>
      </c>
      <c r="S187" s="500"/>
      <c r="T187" s="500">
        <f>IF(B187&lt;=0,0,B187*IF('Simulador 7x5'!$Y$81=1,0,'Simulador 7x5'!$U$75))</f>
        <v>0</v>
      </c>
      <c r="U187" s="500"/>
      <c r="V187" s="513">
        <f>IF(B187&lt;=0,0,IF('Simulador 7x5'!$T$41=1,'Simulador 7x5'!$E$55,'Simulador 7x5'!$G$55))</f>
        <v>0</v>
      </c>
      <c r="W187" s="500"/>
      <c r="X187" s="500">
        <f t="shared" si="52"/>
        <v>0</v>
      </c>
      <c r="Y187" s="7"/>
      <c r="Z187" s="12"/>
      <c r="AA187" s="17"/>
      <c r="AB187" s="2">
        <f t="shared" si="53"/>
        <v>0</v>
      </c>
      <c r="AC187" s="21">
        <f t="shared" si="68"/>
        <v>0</v>
      </c>
      <c r="AD187" s="380">
        <f t="shared" si="54"/>
        <v>0</v>
      </c>
      <c r="AE187" s="380">
        <f t="shared" si="55"/>
        <v>0</v>
      </c>
      <c r="AF187" s="381">
        <f t="shared" si="56"/>
        <v>0</v>
      </c>
      <c r="AG187" s="380">
        <f t="shared" si="57"/>
        <v>0</v>
      </c>
      <c r="AH187" s="380">
        <f t="shared" si="58"/>
        <v>0</v>
      </c>
      <c r="AI187" s="380">
        <f>IF(AD187&lt;=0,0,AD187*IF('Simulador 7x5'!$Y$81=1,0,'Simulador 7x5'!$U$75))+IF(AD187&lt;=0,0,IF('Simulador 7x5'!$T$41=1,'Simulador 7x5'!$E$55,'Simulador 7x5'!$G$55))</f>
        <v>0</v>
      </c>
      <c r="AJ187" s="380">
        <f t="shared" si="59"/>
        <v>0</v>
      </c>
      <c r="AK187" s="109">
        <f t="shared" si="60"/>
        <v>0</v>
      </c>
      <c r="AM187" s="141">
        <v>14</v>
      </c>
      <c r="AN187" s="2">
        <v>0</v>
      </c>
      <c r="AO187" s="329">
        <f t="shared" si="61"/>
        <v>0</v>
      </c>
      <c r="AP187" s="329">
        <f t="shared" si="62"/>
        <v>0</v>
      </c>
      <c r="AQ187" s="20">
        <f t="shared" si="63"/>
        <v>0</v>
      </c>
      <c r="AR187" s="36"/>
      <c r="AS187">
        <f t="shared" si="64"/>
        <v>0</v>
      </c>
      <c r="AT187" s="384">
        <f t="shared" si="65"/>
      </c>
      <c r="AU187" s="385">
        <f t="shared" si="66"/>
        <v>0</v>
      </c>
      <c r="AV187" s="36">
        <v>120</v>
      </c>
    </row>
    <row r="188" spans="1:48" ht="12.75">
      <c r="A188" s="443">
        <f t="shared" si="67"/>
        <v>172</v>
      </c>
      <c r="B188" s="498">
        <f t="shared" si="45"/>
        <v>0</v>
      </c>
      <c r="C188" s="499"/>
      <c r="D188" s="498">
        <f t="shared" si="46"/>
        <v>0</v>
      </c>
      <c r="E188" s="500"/>
      <c r="F188" s="500">
        <f t="shared" si="47"/>
        <v>0</v>
      </c>
      <c r="G188" s="500"/>
      <c r="H188" s="500">
        <f t="shared" si="48"/>
        <v>0</v>
      </c>
      <c r="I188" s="501"/>
      <c r="J188" s="505">
        <f t="shared" si="49"/>
        <v>0</v>
      </c>
      <c r="K188" s="501"/>
      <c r="L188" s="502"/>
      <c r="M188" s="501"/>
      <c r="N188" s="500">
        <v>0</v>
      </c>
      <c r="O188" s="6"/>
      <c r="P188" s="457">
        <f t="shared" si="50"/>
        <v>0</v>
      </c>
      <c r="Q188" s="1"/>
      <c r="R188" s="500">
        <f t="shared" si="51"/>
        <v>0</v>
      </c>
      <c r="S188" s="500"/>
      <c r="T188" s="500">
        <f>IF(B188&lt;=0,0,B188*IF('Simulador 7x5'!$Y$81=1,0,'Simulador 7x5'!$U$75))</f>
        <v>0</v>
      </c>
      <c r="U188" s="500"/>
      <c r="V188" s="513">
        <f>IF(B188&lt;=0,0,IF('Simulador 7x5'!$T$41=1,'Simulador 7x5'!$E$55,'Simulador 7x5'!$G$55))</f>
        <v>0</v>
      </c>
      <c r="W188" s="500"/>
      <c r="X188" s="500">
        <f t="shared" si="52"/>
        <v>0</v>
      </c>
      <c r="Y188" s="7"/>
      <c r="Z188" s="12"/>
      <c r="AA188" s="17"/>
      <c r="AB188" s="2">
        <f t="shared" si="53"/>
        <v>0</v>
      </c>
      <c r="AC188" s="21">
        <f t="shared" si="68"/>
        <v>0</v>
      </c>
      <c r="AD188" s="380">
        <f t="shared" si="54"/>
        <v>0</v>
      </c>
      <c r="AE188" s="380">
        <f t="shared" si="55"/>
        <v>0</v>
      </c>
      <c r="AF188" s="381">
        <f t="shared" si="56"/>
        <v>0</v>
      </c>
      <c r="AG188" s="380">
        <f t="shared" si="57"/>
        <v>0</v>
      </c>
      <c r="AH188" s="380">
        <f t="shared" si="58"/>
        <v>0</v>
      </c>
      <c r="AI188" s="380">
        <f>IF(AD188&lt;=0,0,AD188*IF('Simulador 7x5'!$Y$81=1,0,'Simulador 7x5'!$U$75))+IF(AD188&lt;=0,0,IF('Simulador 7x5'!$T$41=1,'Simulador 7x5'!$E$55,'Simulador 7x5'!$G$55))</f>
        <v>0</v>
      </c>
      <c r="AJ188" s="380">
        <f t="shared" si="59"/>
        <v>0</v>
      </c>
      <c r="AK188" s="109">
        <f t="shared" si="60"/>
        <v>0</v>
      </c>
      <c r="AM188" s="141">
        <v>14</v>
      </c>
      <c r="AN188" s="2">
        <v>0</v>
      </c>
      <c r="AO188" s="329">
        <f t="shared" si="61"/>
        <v>0</v>
      </c>
      <c r="AP188" s="329">
        <f t="shared" si="62"/>
        <v>0</v>
      </c>
      <c r="AQ188" s="20">
        <f t="shared" si="63"/>
        <v>0</v>
      </c>
      <c r="AR188" s="36"/>
      <c r="AS188">
        <f t="shared" si="64"/>
        <v>0</v>
      </c>
      <c r="AT188" s="384">
        <f t="shared" si="65"/>
      </c>
      <c r="AU188" s="385">
        <f t="shared" si="66"/>
        <v>0</v>
      </c>
      <c r="AV188" s="36">
        <v>120</v>
      </c>
    </row>
    <row r="189" spans="1:48" ht="12.75">
      <c r="A189" s="443">
        <f t="shared" si="67"/>
        <v>173</v>
      </c>
      <c r="B189" s="498">
        <f t="shared" si="45"/>
        <v>0</v>
      </c>
      <c r="C189" s="499"/>
      <c r="D189" s="498">
        <f t="shared" si="46"/>
        <v>0</v>
      </c>
      <c r="E189" s="500"/>
      <c r="F189" s="500">
        <f t="shared" si="47"/>
        <v>0</v>
      </c>
      <c r="G189" s="500"/>
      <c r="H189" s="500">
        <f t="shared" si="48"/>
        <v>0</v>
      </c>
      <c r="I189" s="501"/>
      <c r="J189" s="505">
        <f t="shared" si="49"/>
        <v>0</v>
      </c>
      <c r="K189" s="501"/>
      <c r="L189" s="502"/>
      <c r="M189" s="501"/>
      <c r="N189" s="500">
        <v>0</v>
      </c>
      <c r="O189" s="6"/>
      <c r="P189" s="457">
        <f t="shared" si="50"/>
        <v>0</v>
      </c>
      <c r="Q189" s="1"/>
      <c r="R189" s="500">
        <f t="shared" si="51"/>
        <v>0</v>
      </c>
      <c r="S189" s="500"/>
      <c r="T189" s="500">
        <f>IF(B189&lt;=0,0,B189*IF('Simulador 7x5'!$Y$81=1,0,'Simulador 7x5'!$U$75))</f>
        <v>0</v>
      </c>
      <c r="U189" s="500"/>
      <c r="V189" s="513">
        <f>IF(B189&lt;=0,0,IF('Simulador 7x5'!$T$41=1,'Simulador 7x5'!$E$55,'Simulador 7x5'!$G$55))</f>
        <v>0</v>
      </c>
      <c r="W189" s="500"/>
      <c r="X189" s="500">
        <f t="shared" si="52"/>
        <v>0</v>
      </c>
      <c r="Y189" s="7"/>
      <c r="Z189" s="12"/>
      <c r="AA189" s="17"/>
      <c r="AB189" s="2">
        <f t="shared" si="53"/>
        <v>0</v>
      </c>
      <c r="AC189" s="21">
        <f t="shared" si="68"/>
        <v>0</v>
      </c>
      <c r="AD189" s="380">
        <f t="shared" si="54"/>
        <v>0</v>
      </c>
      <c r="AE189" s="380">
        <f t="shared" si="55"/>
        <v>0</v>
      </c>
      <c r="AF189" s="381">
        <f t="shared" si="56"/>
        <v>0</v>
      </c>
      <c r="AG189" s="380">
        <f t="shared" si="57"/>
        <v>0</v>
      </c>
      <c r="AH189" s="380">
        <f t="shared" si="58"/>
        <v>0</v>
      </c>
      <c r="AI189" s="380">
        <f>IF(AD189&lt;=0,0,AD189*IF('Simulador 7x5'!$Y$81=1,0,'Simulador 7x5'!$U$75))+IF(AD189&lt;=0,0,IF('Simulador 7x5'!$T$41=1,'Simulador 7x5'!$E$55,'Simulador 7x5'!$G$55))</f>
        <v>0</v>
      </c>
      <c r="AJ189" s="380">
        <f t="shared" si="59"/>
        <v>0</v>
      </c>
      <c r="AK189" s="109">
        <f t="shared" si="60"/>
        <v>0</v>
      </c>
      <c r="AM189" s="141">
        <v>14</v>
      </c>
      <c r="AN189" s="2">
        <v>0</v>
      </c>
      <c r="AO189" s="329">
        <f t="shared" si="61"/>
        <v>0</v>
      </c>
      <c r="AP189" s="329">
        <f t="shared" si="62"/>
        <v>0</v>
      </c>
      <c r="AQ189" s="20">
        <f t="shared" si="63"/>
        <v>0</v>
      </c>
      <c r="AR189" s="36"/>
      <c r="AS189">
        <f t="shared" si="64"/>
        <v>0</v>
      </c>
      <c r="AT189" s="384">
        <f t="shared" si="65"/>
      </c>
      <c r="AU189" s="385">
        <f t="shared" si="66"/>
        <v>0</v>
      </c>
      <c r="AV189" s="36">
        <v>120</v>
      </c>
    </row>
    <row r="190" spans="1:48" ht="12.75">
      <c r="A190" s="443">
        <f t="shared" si="67"/>
        <v>174</v>
      </c>
      <c r="B190" s="498">
        <f t="shared" si="45"/>
        <v>0</v>
      </c>
      <c r="C190" s="499"/>
      <c r="D190" s="498">
        <f t="shared" si="46"/>
        <v>0</v>
      </c>
      <c r="E190" s="500"/>
      <c r="F190" s="500">
        <f t="shared" si="47"/>
        <v>0</v>
      </c>
      <c r="G190" s="500"/>
      <c r="H190" s="500">
        <f t="shared" si="48"/>
        <v>0</v>
      </c>
      <c r="I190" s="501"/>
      <c r="J190" s="505">
        <f t="shared" si="49"/>
        <v>0</v>
      </c>
      <c r="K190" s="501"/>
      <c r="L190" s="502"/>
      <c r="M190" s="501"/>
      <c r="N190" s="500">
        <v>0</v>
      </c>
      <c r="O190" s="6"/>
      <c r="P190" s="457">
        <f t="shared" si="50"/>
        <v>0</v>
      </c>
      <c r="Q190" s="1"/>
      <c r="R190" s="500">
        <f t="shared" si="51"/>
        <v>0</v>
      </c>
      <c r="S190" s="500"/>
      <c r="T190" s="500">
        <f>IF(B190&lt;=0,0,B190*IF('Simulador 7x5'!$Y$81=1,0,'Simulador 7x5'!$U$75))</f>
        <v>0</v>
      </c>
      <c r="U190" s="500"/>
      <c r="V190" s="513">
        <f>IF(B190&lt;=0,0,IF('Simulador 7x5'!$T$41=1,'Simulador 7x5'!$E$55,'Simulador 7x5'!$G$55))</f>
        <v>0</v>
      </c>
      <c r="W190" s="500"/>
      <c r="X190" s="500">
        <f t="shared" si="52"/>
        <v>0</v>
      </c>
      <c r="Y190" s="7"/>
      <c r="Z190" s="12"/>
      <c r="AA190" s="17"/>
      <c r="AB190" s="2">
        <f t="shared" si="53"/>
        <v>0</v>
      </c>
      <c r="AC190" s="21">
        <f t="shared" si="68"/>
        <v>0</v>
      </c>
      <c r="AD190" s="380">
        <f t="shared" si="54"/>
        <v>0</v>
      </c>
      <c r="AE190" s="380">
        <f t="shared" si="55"/>
        <v>0</v>
      </c>
      <c r="AF190" s="381">
        <f t="shared" si="56"/>
        <v>0</v>
      </c>
      <c r="AG190" s="380">
        <f t="shared" si="57"/>
        <v>0</v>
      </c>
      <c r="AH190" s="380">
        <f t="shared" si="58"/>
        <v>0</v>
      </c>
      <c r="AI190" s="380">
        <f>IF(AD190&lt;=0,0,AD190*IF('Simulador 7x5'!$Y$81=1,0,'Simulador 7x5'!$U$75))+IF(AD190&lt;=0,0,IF('Simulador 7x5'!$T$41=1,'Simulador 7x5'!$E$55,'Simulador 7x5'!$G$55))</f>
        <v>0</v>
      </c>
      <c r="AJ190" s="380">
        <f t="shared" si="59"/>
        <v>0</v>
      </c>
      <c r="AK190" s="109">
        <f t="shared" si="60"/>
        <v>0</v>
      </c>
      <c r="AM190" s="141">
        <v>14</v>
      </c>
      <c r="AN190" s="2">
        <v>0</v>
      </c>
      <c r="AO190" s="329">
        <f t="shared" si="61"/>
        <v>0</v>
      </c>
      <c r="AP190" s="329">
        <f t="shared" si="62"/>
        <v>0</v>
      </c>
      <c r="AQ190" s="20">
        <f t="shared" si="63"/>
        <v>0</v>
      </c>
      <c r="AR190" s="36"/>
      <c r="AS190">
        <f t="shared" si="64"/>
        <v>0</v>
      </c>
      <c r="AT190" s="384">
        <f t="shared" si="65"/>
      </c>
      <c r="AU190" s="385">
        <f t="shared" si="66"/>
        <v>0</v>
      </c>
      <c r="AV190" s="36">
        <v>120</v>
      </c>
    </row>
    <row r="191" spans="1:48" ht="12.75">
      <c r="A191" s="443">
        <f t="shared" si="67"/>
        <v>175</v>
      </c>
      <c r="B191" s="498">
        <f t="shared" si="45"/>
        <v>0</v>
      </c>
      <c r="C191" s="499"/>
      <c r="D191" s="498">
        <f t="shared" si="46"/>
        <v>0</v>
      </c>
      <c r="E191" s="500"/>
      <c r="F191" s="500">
        <f t="shared" si="47"/>
        <v>0</v>
      </c>
      <c r="G191" s="500"/>
      <c r="H191" s="500">
        <f t="shared" si="48"/>
        <v>0</v>
      </c>
      <c r="I191" s="501"/>
      <c r="J191" s="505">
        <f t="shared" si="49"/>
        <v>0</v>
      </c>
      <c r="K191" s="501"/>
      <c r="L191" s="502"/>
      <c r="M191" s="501"/>
      <c r="N191" s="500">
        <v>0</v>
      </c>
      <c r="O191" s="6"/>
      <c r="P191" s="457">
        <f t="shared" si="50"/>
        <v>0</v>
      </c>
      <c r="Q191" s="1"/>
      <c r="R191" s="500">
        <f t="shared" si="51"/>
        <v>0</v>
      </c>
      <c r="S191" s="500"/>
      <c r="T191" s="500">
        <f>IF(B191&lt;=0,0,B191*IF('Simulador 7x5'!$Y$81=1,0,'Simulador 7x5'!$U$75))</f>
        <v>0</v>
      </c>
      <c r="U191" s="500"/>
      <c r="V191" s="513">
        <f>IF(B191&lt;=0,0,IF('Simulador 7x5'!$T$41=1,'Simulador 7x5'!$E$55,'Simulador 7x5'!$G$55))</f>
        <v>0</v>
      </c>
      <c r="W191" s="500"/>
      <c r="X191" s="500">
        <f t="shared" si="52"/>
        <v>0</v>
      </c>
      <c r="Y191" s="7"/>
      <c r="Z191" s="12"/>
      <c r="AA191" s="17"/>
      <c r="AB191" s="2">
        <f t="shared" si="53"/>
        <v>0</v>
      </c>
      <c r="AC191" s="21">
        <f t="shared" si="68"/>
        <v>0</v>
      </c>
      <c r="AD191" s="380">
        <f t="shared" si="54"/>
        <v>0</v>
      </c>
      <c r="AE191" s="380">
        <f t="shared" si="55"/>
        <v>0</v>
      </c>
      <c r="AF191" s="381">
        <f t="shared" si="56"/>
        <v>0</v>
      </c>
      <c r="AG191" s="380">
        <f t="shared" si="57"/>
        <v>0</v>
      </c>
      <c r="AH191" s="380">
        <f t="shared" si="58"/>
        <v>0</v>
      </c>
      <c r="AI191" s="380">
        <f>IF(AD191&lt;=0,0,AD191*IF('Simulador 7x5'!$Y$81=1,0,'Simulador 7x5'!$U$75))+IF(AD191&lt;=0,0,IF('Simulador 7x5'!$T$41=1,'Simulador 7x5'!$E$55,'Simulador 7x5'!$G$55))</f>
        <v>0</v>
      </c>
      <c r="AJ191" s="380">
        <f t="shared" si="59"/>
        <v>0</v>
      </c>
      <c r="AK191" s="109">
        <f t="shared" si="60"/>
        <v>0</v>
      </c>
      <c r="AM191" s="141">
        <v>14</v>
      </c>
      <c r="AN191" s="2">
        <v>0</v>
      </c>
      <c r="AO191" s="329">
        <f t="shared" si="61"/>
        <v>0</v>
      </c>
      <c r="AP191" s="329">
        <f t="shared" si="62"/>
        <v>0</v>
      </c>
      <c r="AQ191" s="20">
        <f t="shared" si="63"/>
        <v>0</v>
      </c>
      <c r="AR191" s="36"/>
      <c r="AS191">
        <f t="shared" si="64"/>
        <v>0</v>
      </c>
      <c r="AT191" s="384">
        <f t="shared" si="65"/>
      </c>
      <c r="AU191" s="385">
        <f t="shared" si="66"/>
        <v>0</v>
      </c>
      <c r="AV191" s="36">
        <v>120</v>
      </c>
    </row>
    <row r="192" spans="1:48" ht="12.75">
      <c r="A192" s="443">
        <f t="shared" si="67"/>
        <v>176</v>
      </c>
      <c r="B192" s="498">
        <f t="shared" si="45"/>
        <v>0</v>
      </c>
      <c r="C192" s="499"/>
      <c r="D192" s="498">
        <f t="shared" si="46"/>
        <v>0</v>
      </c>
      <c r="E192" s="500"/>
      <c r="F192" s="500">
        <f t="shared" si="47"/>
        <v>0</v>
      </c>
      <c r="G192" s="500"/>
      <c r="H192" s="500">
        <f t="shared" si="48"/>
        <v>0</v>
      </c>
      <c r="I192" s="501"/>
      <c r="J192" s="505">
        <f t="shared" si="49"/>
        <v>0</v>
      </c>
      <c r="K192" s="501"/>
      <c r="L192" s="502"/>
      <c r="M192" s="501"/>
      <c r="N192" s="500">
        <v>0</v>
      </c>
      <c r="O192" s="6"/>
      <c r="P192" s="457">
        <f t="shared" si="50"/>
        <v>0</v>
      </c>
      <c r="Q192" s="1"/>
      <c r="R192" s="500">
        <f t="shared" si="51"/>
        <v>0</v>
      </c>
      <c r="S192" s="500"/>
      <c r="T192" s="500">
        <f>IF(B192&lt;=0,0,B192*IF('Simulador 7x5'!$Y$81=1,0,'Simulador 7x5'!$U$75))</f>
        <v>0</v>
      </c>
      <c r="U192" s="500"/>
      <c r="V192" s="513">
        <f>IF(B192&lt;=0,0,IF('Simulador 7x5'!$T$41=1,'Simulador 7x5'!$E$55,'Simulador 7x5'!$G$55))</f>
        <v>0</v>
      </c>
      <c r="W192" s="500"/>
      <c r="X192" s="500">
        <f t="shared" si="52"/>
        <v>0</v>
      </c>
      <c r="Y192" s="7"/>
      <c r="Z192" s="12"/>
      <c r="AA192" s="17"/>
      <c r="AB192" s="2">
        <f t="shared" si="53"/>
        <v>0</v>
      </c>
      <c r="AC192" s="21">
        <f t="shared" si="68"/>
        <v>0</v>
      </c>
      <c r="AD192" s="380">
        <f t="shared" si="54"/>
        <v>0</v>
      </c>
      <c r="AE192" s="380">
        <f t="shared" si="55"/>
        <v>0</v>
      </c>
      <c r="AF192" s="381">
        <f t="shared" si="56"/>
        <v>0</v>
      </c>
      <c r="AG192" s="380">
        <f t="shared" si="57"/>
        <v>0</v>
      </c>
      <c r="AH192" s="380">
        <f t="shared" si="58"/>
        <v>0</v>
      </c>
      <c r="AI192" s="380">
        <f>IF(AD192&lt;=0,0,AD192*IF('Simulador 7x5'!$Y$81=1,0,'Simulador 7x5'!$U$75))+IF(AD192&lt;=0,0,IF('Simulador 7x5'!$T$41=1,'Simulador 7x5'!$E$55,'Simulador 7x5'!$G$55))</f>
        <v>0</v>
      </c>
      <c r="AJ192" s="380">
        <f t="shared" si="59"/>
        <v>0</v>
      </c>
      <c r="AK192" s="109">
        <f t="shared" si="60"/>
        <v>0</v>
      </c>
      <c r="AM192" s="141">
        <v>14</v>
      </c>
      <c r="AN192" s="2">
        <v>0</v>
      </c>
      <c r="AO192" s="329">
        <f t="shared" si="61"/>
        <v>0</v>
      </c>
      <c r="AP192" s="329">
        <f t="shared" si="62"/>
        <v>0</v>
      </c>
      <c r="AQ192" s="20">
        <f t="shared" si="63"/>
        <v>0</v>
      </c>
      <c r="AR192" s="36"/>
      <c r="AS192">
        <f t="shared" si="64"/>
        <v>0</v>
      </c>
      <c r="AT192" s="384">
        <f t="shared" si="65"/>
      </c>
      <c r="AU192" s="385">
        <f t="shared" si="66"/>
        <v>0</v>
      </c>
      <c r="AV192" s="36">
        <v>120</v>
      </c>
    </row>
    <row r="193" spans="1:48" ht="12.75">
      <c r="A193" s="443">
        <f t="shared" si="67"/>
        <v>177</v>
      </c>
      <c r="B193" s="498">
        <f t="shared" si="45"/>
        <v>0</v>
      </c>
      <c r="C193" s="499"/>
      <c r="D193" s="498">
        <f t="shared" si="46"/>
        <v>0</v>
      </c>
      <c r="E193" s="500"/>
      <c r="F193" s="500">
        <f t="shared" si="47"/>
        <v>0</v>
      </c>
      <c r="G193" s="500"/>
      <c r="H193" s="500">
        <f t="shared" si="48"/>
        <v>0</v>
      </c>
      <c r="I193" s="501"/>
      <c r="J193" s="505">
        <f t="shared" si="49"/>
        <v>0</v>
      </c>
      <c r="K193" s="501"/>
      <c r="L193" s="502"/>
      <c r="M193" s="501"/>
      <c r="N193" s="500">
        <v>0</v>
      </c>
      <c r="O193" s="6"/>
      <c r="P193" s="457">
        <f t="shared" si="50"/>
        <v>0</v>
      </c>
      <c r="Q193" s="1"/>
      <c r="R193" s="500">
        <f t="shared" si="51"/>
        <v>0</v>
      </c>
      <c r="S193" s="500"/>
      <c r="T193" s="500">
        <f>IF(B193&lt;=0,0,B193*IF('Simulador 7x5'!$Y$81=1,0,'Simulador 7x5'!$U$75))</f>
        <v>0</v>
      </c>
      <c r="U193" s="500"/>
      <c r="V193" s="513">
        <f>IF(B193&lt;=0,0,IF('Simulador 7x5'!$T$41=1,'Simulador 7x5'!$E$55,'Simulador 7x5'!$G$55))</f>
        <v>0</v>
      </c>
      <c r="W193" s="500"/>
      <c r="X193" s="500">
        <f t="shared" si="52"/>
        <v>0</v>
      </c>
      <c r="Y193" s="7"/>
      <c r="Z193" s="12"/>
      <c r="AA193" s="17"/>
      <c r="AB193" s="2">
        <f t="shared" si="53"/>
        <v>0</v>
      </c>
      <c r="AC193" s="21">
        <f t="shared" si="68"/>
        <v>0</v>
      </c>
      <c r="AD193" s="380">
        <f t="shared" si="54"/>
        <v>0</v>
      </c>
      <c r="AE193" s="380">
        <f t="shared" si="55"/>
        <v>0</v>
      </c>
      <c r="AF193" s="381">
        <f t="shared" si="56"/>
        <v>0</v>
      </c>
      <c r="AG193" s="380">
        <f t="shared" si="57"/>
        <v>0</v>
      </c>
      <c r="AH193" s="380">
        <f t="shared" si="58"/>
        <v>0</v>
      </c>
      <c r="AI193" s="380">
        <f>IF(AD193&lt;=0,0,AD193*IF('Simulador 7x5'!$Y$81=1,0,'Simulador 7x5'!$U$75))+IF(AD193&lt;=0,0,IF('Simulador 7x5'!$T$41=1,'Simulador 7x5'!$E$55,'Simulador 7x5'!$G$55))</f>
        <v>0</v>
      </c>
      <c r="AJ193" s="380">
        <f t="shared" si="59"/>
        <v>0</v>
      </c>
      <c r="AK193" s="109">
        <f t="shared" si="60"/>
        <v>0</v>
      </c>
      <c r="AM193" s="141">
        <v>14</v>
      </c>
      <c r="AN193" s="2">
        <v>0</v>
      </c>
      <c r="AO193" s="329">
        <f t="shared" si="61"/>
        <v>0</v>
      </c>
      <c r="AP193" s="329">
        <f t="shared" si="62"/>
        <v>0</v>
      </c>
      <c r="AQ193" s="20">
        <f t="shared" si="63"/>
        <v>0</v>
      </c>
      <c r="AR193" s="36"/>
      <c r="AS193">
        <f t="shared" si="64"/>
        <v>0</v>
      </c>
      <c r="AT193" s="384">
        <f t="shared" si="65"/>
      </c>
      <c r="AU193" s="385">
        <f t="shared" si="66"/>
        <v>0</v>
      </c>
      <c r="AV193" s="36">
        <v>120</v>
      </c>
    </row>
    <row r="194" spans="1:48" ht="12.75">
      <c r="A194" s="443">
        <f t="shared" si="67"/>
        <v>178</v>
      </c>
      <c r="B194" s="498">
        <f t="shared" si="45"/>
        <v>0</v>
      </c>
      <c r="C194" s="499"/>
      <c r="D194" s="498">
        <f t="shared" si="46"/>
        <v>0</v>
      </c>
      <c r="E194" s="500"/>
      <c r="F194" s="500">
        <f t="shared" si="47"/>
        <v>0</v>
      </c>
      <c r="G194" s="500"/>
      <c r="H194" s="500">
        <f t="shared" si="48"/>
        <v>0</v>
      </c>
      <c r="I194" s="501"/>
      <c r="J194" s="505">
        <f t="shared" si="49"/>
        <v>0</v>
      </c>
      <c r="K194" s="501"/>
      <c r="L194" s="502"/>
      <c r="M194" s="501"/>
      <c r="N194" s="500">
        <v>0</v>
      </c>
      <c r="O194" s="6"/>
      <c r="P194" s="457">
        <f t="shared" si="50"/>
        <v>0</v>
      </c>
      <c r="Q194" s="1"/>
      <c r="R194" s="500">
        <f t="shared" si="51"/>
        <v>0</v>
      </c>
      <c r="S194" s="500"/>
      <c r="T194" s="500">
        <f>IF(B194&lt;=0,0,B194*IF('Simulador 7x5'!$Y$81=1,0,'Simulador 7x5'!$U$75))</f>
        <v>0</v>
      </c>
      <c r="U194" s="500"/>
      <c r="V194" s="513">
        <f>IF(B194&lt;=0,0,IF('Simulador 7x5'!$T$41=1,'Simulador 7x5'!$E$55,'Simulador 7x5'!$G$55))</f>
        <v>0</v>
      </c>
      <c r="W194" s="500"/>
      <c r="X194" s="500">
        <f t="shared" si="52"/>
        <v>0</v>
      </c>
      <c r="Y194" s="7"/>
      <c r="Z194" s="12"/>
      <c r="AA194" s="17"/>
      <c r="AB194" s="2">
        <f t="shared" si="53"/>
        <v>0</v>
      </c>
      <c r="AC194" s="21">
        <f t="shared" si="68"/>
        <v>0</v>
      </c>
      <c r="AD194" s="380">
        <f t="shared" si="54"/>
        <v>0</v>
      </c>
      <c r="AE194" s="380">
        <f t="shared" si="55"/>
        <v>0</v>
      </c>
      <c r="AF194" s="381">
        <f t="shared" si="56"/>
        <v>0</v>
      </c>
      <c r="AG194" s="380">
        <f t="shared" si="57"/>
        <v>0</v>
      </c>
      <c r="AH194" s="380">
        <f t="shared" si="58"/>
        <v>0</v>
      </c>
      <c r="AI194" s="380">
        <f>IF(AD194&lt;=0,0,AD194*IF('Simulador 7x5'!$Y$81=1,0,'Simulador 7x5'!$U$75))+IF(AD194&lt;=0,0,IF('Simulador 7x5'!$T$41=1,'Simulador 7x5'!$E$55,'Simulador 7x5'!$G$55))</f>
        <v>0</v>
      </c>
      <c r="AJ194" s="380">
        <f t="shared" si="59"/>
        <v>0</v>
      </c>
      <c r="AK194" s="109">
        <f t="shared" si="60"/>
        <v>0</v>
      </c>
      <c r="AM194" s="141">
        <v>14</v>
      </c>
      <c r="AN194" s="2">
        <v>0</v>
      </c>
      <c r="AO194" s="329">
        <f t="shared" si="61"/>
        <v>0</v>
      </c>
      <c r="AP194" s="329">
        <f t="shared" si="62"/>
        <v>0</v>
      </c>
      <c r="AQ194" s="20">
        <f t="shared" si="63"/>
        <v>0</v>
      </c>
      <c r="AR194" s="36"/>
      <c r="AS194">
        <f t="shared" si="64"/>
        <v>0</v>
      </c>
      <c r="AT194" s="384">
        <f t="shared" si="65"/>
      </c>
      <c r="AU194" s="385">
        <f t="shared" si="66"/>
        <v>0</v>
      </c>
      <c r="AV194" s="36">
        <v>120</v>
      </c>
    </row>
    <row r="195" spans="1:48" ht="12.75">
      <c r="A195" s="443">
        <f t="shared" si="67"/>
        <v>179</v>
      </c>
      <c r="B195" s="498">
        <f t="shared" si="45"/>
        <v>0</v>
      </c>
      <c r="C195" s="499"/>
      <c r="D195" s="498">
        <f t="shared" si="46"/>
        <v>0</v>
      </c>
      <c r="E195" s="500"/>
      <c r="F195" s="500">
        <f t="shared" si="47"/>
        <v>0</v>
      </c>
      <c r="G195" s="500"/>
      <c r="H195" s="500">
        <f t="shared" si="48"/>
        <v>0</v>
      </c>
      <c r="I195" s="501"/>
      <c r="J195" s="505">
        <f t="shared" si="49"/>
        <v>0</v>
      </c>
      <c r="K195" s="501"/>
      <c r="L195" s="502"/>
      <c r="M195" s="501"/>
      <c r="N195" s="500">
        <v>0</v>
      </c>
      <c r="O195" s="6"/>
      <c r="P195" s="457">
        <f t="shared" si="50"/>
        <v>0</v>
      </c>
      <c r="Q195" s="1"/>
      <c r="R195" s="500">
        <f t="shared" si="51"/>
        <v>0</v>
      </c>
      <c r="S195" s="500"/>
      <c r="T195" s="500">
        <f>IF(B195&lt;=0,0,B195*IF('Simulador 7x5'!$Y$81=1,0,'Simulador 7x5'!$U$75))</f>
        <v>0</v>
      </c>
      <c r="U195" s="500"/>
      <c r="V195" s="513">
        <f>IF(B195&lt;=0,0,IF('Simulador 7x5'!$T$41=1,'Simulador 7x5'!$E$55,'Simulador 7x5'!$G$55))</f>
        <v>0</v>
      </c>
      <c r="W195" s="500"/>
      <c r="X195" s="500">
        <f t="shared" si="52"/>
        <v>0</v>
      </c>
      <c r="Y195" s="7"/>
      <c r="Z195" s="12"/>
      <c r="AA195" s="17"/>
      <c r="AB195" s="2">
        <f t="shared" si="53"/>
        <v>0</v>
      </c>
      <c r="AC195" s="21">
        <f t="shared" si="68"/>
        <v>0</v>
      </c>
      <c r="AD195" s="380">
        <f t="shared" si="54"/>
        <v>0</v>
      </c>
      <c r="AE195" s="380">
        <f t="shared" si="55"/>
        <v>0</v>
      </c>
      <c r="AF195" s="381">
        <f t="shared" si="56"/>
        <v>0</v>
      </c>
      <c r="AG195" s="380">
        <f t="shared" si="57"/>
        <v>0</v>
      </c>
      <c r="AH195" s="380">
        <f t="shared" si="58"/>
        <v>0</v>
      </c>
      <c r="AI195" s="380">
        <f>IF(AD195&lt;=0,0,AD195*IF('Simulador 7x5'!$Y$81=1,0,'Simulador 7x5'!$U$75))+IF(AD195&lt;=0,0,IF('Simulador 7x5'!$T$41=1,'Simulador 7x5'!$E$55,'Simulador 7x5'!$G$55))</f>
        <v>0</v>
      </c>
      <c r="AJ195" s="380">
        <f t="shared" si="59"/>
        <v>0</v>
      </c>
      <c r="AK195" s="109">
        <f t="shared" si="60"/>
        <v>0</v>
      </c>
      <c r="AM195" s="141">
        <v>14</v>
      </c>
      <c r="AN195" s="2">
        <v>0</v>
      </c>
      <c r="AO195" s="329">
        <f t="shared" si="61"/>
        <v>0</v>
      </c>
      <c r="AP195" s="329">
        <f t="shared" si="62"/>
        <v>0</v>
      </c>
      <c r="AQ195" s="20">
        <f t="shared" si="63"/>
        <v>0</v>
      </c>
      <c r="AR195" s="36"/>
      <c r="AS195">
        <f t="shared" si="64"/>
        <v>0</v>
      </c>
      <c r="AT195" s="384">
        <f t="shared" si="65"/>
      </c>
      <c r="AU195" s="385">
        <f t="shared" si="66"/>
        <v>0</v>
      </c>
      <c r="AV195" s="36">
        <v>120</v>
      </c>
    </row>
    <row r="196" spans="1:48" ht="12.75">
      <c r="A196" s="443">
        <f t="shared" si="67"/>
        <v>180</v>
      </c>
      <c r="B196" s="498">
        <f t="shared" si="45"/>
        <v>0</v>
      </c>
      <c r="C196" s="499"/>
      <c r="D196" s="498">
        <f t="shared" si="46"/>
        <v>0</v>
      </c>
      <c r="E196" s="500"/>
      <c r="F196" s="500">
        <f t="shared" si="47"/>
        <v>0</v>
      </c>
      <c r="G196" s="500"/>
      <c r="H196" s="500">
        <f t="shared" si="48"/>
        <v>0</v>
      </c>
      <c r="I196" s="501"/>
      <c r="J196" s="505">
        <f t="shared" si="49"/>
        <v>0</v>
      </c>
      <c r="K196" s="501"/>
      <c r="L196" s="502"/>
      <c r="M196" s="501"/>
      <c r="N196" s="500">
        <v>0</v>
      </c>
      <c r="O196" s="6"/>
      <c r="P196" s="457">
        <f t="shared" si="50"/>
        <v>0</v>
      </c>
      <c r="Q196" s="1"/>
      <c r="R196" s="500">
        <f t="shared" si="51"/>
        <v>0</v>
      </c>
      <c r="S196" s="500"/>
      <c r="T196" s="500">
        <f>IF(B196&lt;=0,0,B196*IF('Simulador 7x5'!$Y$81=1,0,'Simulador 7x5'!$U$75))</f>
        <v>0</v>
      </c>
      <c r="U196" s="500"/>
      <c r="V196" s="513">
        <f>IF(B196&lt;=0,0,IF('Simulador 7x5'!$T$41=1,'Simulador 7x5'!$E$55,'Simulador 7x5'!$G$55))</f>
        <v>0</v>
      </c>
      <c r="W196" s="500"/>
      <c r="X196" s="500">
        <f t="shared" si="52"/>
        <v>0</v>
      </c>
      <c r="Y196" s="7"/>
      <c r="Z196" s="12"/>
      <c r="AA196" s="17"/>
      <c r="AB196" s="2">
        <f t="shared" si="53"/>
        <v>0</v>
      </c>
      <c r="AC196" s="21">
        <f t="shared" si="68"/>
        <v>0</v>
      </c>
      <c r="AD196" s="380">
        <f t="shared" si="54"/>
        <v>0</v>
      </c>
      <c r="AE196" s="380">
        <f t="shared" si="55"/>
        <v>0</v>
      </c>
      <c r="AF196" s="381">
        <f t="shared" si="56"/>
        <v>0</v>
      </c>
      <c r="AG196" s="380">
        <f t="shared" si="57"/>
        <v>0</v>
      </c>
      <c r="AH196" s="380">
        <f t="shared" si="58"/>
        <v>0</v>
      </c>
      <c r="AI196" s="380">
        <f>IF(AD196&lt;=0,0,AD196*IF('Simulador 7x5'!$Y$81=1,0,'Simulador 7x5'!$U$75))+IF(AD196&lt;=0,0,IF('Simulador 7x5'!$T$41=1,'Simulador 7x5'!$E$55,'Simulador 7x5'!$G$55))</f>
        <v>0</v>
      </c>
      <c r="AJ196" s="380">
        <f t="shared" si="59"/>
        <v>0</v>
      </c>
      <c r="AK196" s="109">
        <f t="shared" si="60"/>
        <v>0</v>
      </c>
      <c r="AM196" s="141">
        <v>15</v>
      </c>
      <c r="AN196" s="2">
        <v>0</v>
      </c>
      <c r="AO196" s="329">
        <f t="shared" si="61"/>
        <v>0</v>
      </c>
      <c r="AP196" s="329">
        <f t="shared" si="62"/>
        <v>0</v>
      </c>
      <c r="AQ196" s="20">
        <f t="shared" si="63"/>
        <v>0</v>
      </c>
      <c r="AR196" s="36"/>
      <c r="AS196">
        <f t="shared" si="64"/>
        <v>0</v>
      </c>
      <c r="AT196" s="384">
        <f t="shared" si="65"/>
      </c>
      <c r="AU196" s="385">
        <f t="shared" si="66"/>
        <v>0</v>
      </c>
      <c r="AV196" s="36">
        <v>120</v>
      </c>
    </row>
    <row r="197" spans="1:48" ht="12.75">
      <c r="A197" s="443">
        <f t="shared" si="67"/>
        <v>181</v>
      </c>
      <c r="B197" s="498">
        <f t="shared" si="45"/>
        <v>0</v>
      </c>
      <c r="C197" s="499"/>
      <c r="D197" s="498">
        <f t="shared" si="46"/>
        <v>0</v>
      </c>
      <c r="E197" s="500"/>
      <c r="F197" s="500">
        <f t="shared" si="47"/>
        <v>0</v>
      </c>
      <c r="G197" s="500"/>
      <c r="H197" s="500">
        <f t="shared" si="48"/>
        <v>0</v>
      </c>
      <c r="I197" s="501"/>
      <c r="J197" s="505">
        <f t="shared" si="49"/>
        <v>0</v>
      </c>
      <c r="K197" s="501"/>
      <c r="L197" s="502"/>
      <c r="M197" s="501"/>
      <c r="N197" s="500">
        <v>0</v>
      </c>
      <c r="O197" s="6"/>
      <c r="P197" s="457">
        <f t="shared" si="50"/>
        <v>0</v>
      </c>
      <c r="Q197" s="1"/>
      <c r="R197" s="500">
        <f t="shared" si="51"/>
        <v>0</v>
      </c>
      <c r="S197" s="500"/>
      <c r="T197" s="500">
        <f>IF(B197&lt;=0,0,B197*IF('Simulador 7x5'!$Y$81=1,0,'Simulador 7x5'!$U$75))</f>
        <v>0</v>
      </c>
      <c r="U197" s="500"/>
      <c r="V197" s="513">
        <f>IF(B197&lt;=0,0,IF('Simulador 7x5'!$T$41=1,'Simulador 7x5'!$E$55,'Simulador 7x5'!$G$55))</f>
        <v>0</v>
      </c>
      <c r="W197" s="500"/>
      <c r="X197" s="500">
        <f t="shared" si="52"/>
        <v>0</v>
      </c>
      <c r="Y197" s="7"/>
      <c r="Z197" s="12"/>
      <c r="AA197" s="17"/>
      <c r="AB197" s="2">
        <f t="shared" si="53"/>
        <v>0</v>
      </c>
      <c r="AC197" s="21">
        <f>IF(AD197&lt;=0.01,0,IF('Simulador 7x5'!$I$27&lt;&gt;0,MIN('Simulador 7x5'!$I$27+'Simulador 7x5'!$X$72,'Tabla 7x5'!$AD$5),'Simulador 7x5'!$AA$63))</f>
        <v>0</v>
      </c>
      <c r="AD197" s="380">
        <f t="shared" si="54"/>
        <v>0</v>
      </c>
      <c r="AE197" s="380">
        <f t="shared" si="55"/>
        <v>0</v>
      </c>
      <c r="AF197" s="381">
        <f t="shared" si="56"/>
        <v>0</v>
      </c>
      <c r="AG197" s="380">
        <f t="shared" si="57"/>
        <v>0</v>
      </c>
      <c r="AH197" s="380">
        <f t="shared" si="58"/>
        <v>0</v>
      </c>
      <c r="AI197" s="380">
        <f>IF(AD197&lt;=0,0,AD197*IF('Simulador 7x5'!$Y$81=1,0,'Simulador 7x5'!$U$75))+IF(AD197&lt;=0,0,IF('Simulador 7x5'!$T$41=1,'Simulador 7x5'!$E$55,'Simulador 7x5'!$G$55))</f>
        <v>0</v>
      </c>
      <c r="AJ197" s="380">
        <f t="shared" si="59"/>
        <v>0</v>
      </c>
      <c r="AK197" s="109">
        <f t="shared" si="60"/>
        <v>0</v>
      </c>
      <c r="AM197" s="141">
        <v>15</v>
      </c>
      <c r="AN197" s="2">
        <v>0</v>
      </c>
      <c r="AO197" s="329">
        <f t="shared" si="61"/>
        <v>0</v>
      </c>
      <c r="AP197" s="329">
        <f t="shared" si="62"/>
        <v>0</v>
      </c>
      <c r="AQ197" s="20">
        <f t="shared" si="63"/>
        <v>0</v>
      </c>
      <c r="AR197" s="36"/>
      <c r="AS197">
        <f t="shared" si="64"/>
        <v>0</v>
      </c>
      <c r="AT197" s="384">
        <f t="shared" si="65"/>
      </c>
      <c r="AU197" s="385">
        <f t="shared" si="66"/>
        <v>0</v>
      </c>
      <c r="AV197" s="36">
        <v>120</v>
      </c>
    </row>
    <row r="198" spans="1:48" ht="12.75">
      <c r="A198" s="443">
        <f t="shared" si="67"/>
        <v>182</v>
      </c>
      <c r="B198" s="498">
        <f t="shared" si="45"/>
        <v>0</v>
      </c>
      <c r="C198" s="499"/>
      <c r="D198" s="498">
        <f t="shared" si="46"/>
        <v>0</v>
      </c>
      <c r="E198" s="500"/>
      <c r="F198" s="500">
        <f t="shared" si="47"/>
        <v>0</v>
      </c>
      <c r="G198" s="500"/>
      <c r="H198" s="500">
        <f t="shared" si="48"/>
        <v>0</v>
      </c>
      <c r="I198" s="501"/>
      <c r="J198" s="505">
        <f t="shared" si="49"/>
        <v>0</v>
      </c>
      <c r="K198" s="501"/>
      <c r="L198" s="502"/>
      <c r="M198" s="501"/>
      <c r="N198" s="500">
        <v>0</v>
      </c>
      <c r="O198" s="6"/>
      <c r="P198" s="457">
        <f t="shared" si="50"/>
        <v>0</v>
      </c>
      <c r="Q198" s="1"/>
      <c r="R198" s="500">
        <f t="shared" si="51"/>
        <v>0</v>
      </c>
      <c r="S198" s="500"/>
      <c r="T198" s="500">
        <f>IF(B198&lt;=0,0,B198*IF('Simulador 7x5'!$Y$81=1,0,'Simulador 7x5'!$U$75))</f>
        <v>0</v>
      </c>
      <c r="U198" s="500"/>
      <c r="V198" s="513">
        <f>IF(B198&lt;=0,0,IF('Simulador 7x5'!$T$41=1,'Simulador 7x5'!$E$55,'Simulador 7x5'!$G$55))</f>
        <v>0</v>
      </c>
      <c r="W198" s="500"/>
      <c r="X198" s="500">
        <f t="shared" si="52"/>
        <v>0</v>
      </c>
      <c r="Y198" s="7"/>
      <c r="Z198" s="12"/>
      <c r="AA198" s="17"/>
      <c r="AB198" s="2">
        <f t="shared" si="53"/>
        <v>0</v>
      </c>
      <c r="AC198" s="21">
        <f t="shared" si="68"/>
        <v>0</v>
      </c>
      <c r="AD198" s="380">
        <f t="shared" si="54"/>
        <v>0</v>
      </c>
      <c r="AE198" s="380">
        <f t="shared" si="55"/>
        <v>0</v>
      </c>
      <c r="AF198" s="381">
        <f t="shared" si="56"/>
        <v>0</v>
      </c>
      <c r="AG198" s="380">
        <f t="shared" si="57"/>
        <v>0</v>
      </c>
      <c r="AH198" s="380">
        <f t="shared" si="58"/>
        <v>0</v>
      </c>
      <c r="AI198" s="380">
        <f>IF(AD198&lt;=0,0,AD198*IF('Simulador 7x5'!$Y$81=1,0,'Simulador 7x5'!$U$75))+IF(AD198&lt;=0,0,IF('Simulador 7x5'!$T$41=1,'Simulador 7x5'!$E$55,'Simulador 7x5'!$G$55))</f>
        <v>0</v>
      </c>
      <c r="AJ198" s="380">
        <f t="shared" si="59"/>
        <v>0</v>
      </c>
      <c r="AK198" s="109">
        <f t="shared" si="60"/>
        <v>0</v>
      </c>
      <c r="AM198" s="141">
        <v>15</v>
      </c>
      <c r="AN198" s="2">
        <v>0</v>
      </c>
      <c r="AO198" s="329">
        <f t="shared" si="61"/>
        <v>0</v>
      </c>
      <c r="AP198" s="329">
        <f t="shared" si="62"/>
        <v>0</v>
      </c>
      <c r="AQ198" s="20">
        <f t="shared" si="63"/>
        <v>0</v>
      </c>
      <c r="AR198" s="36"/>
      <c r="AS198">
        <f t="shared" si="64"/>
        <v>0</v>
      </c>
      <c r="AT198" s="384">
        <f t="shared" si="65"/>
      </c>
      <c r="AU198" s="385">
        <f t="shared" si="66"/>
        <v>0</v>
      </c>
      <c r="AV198" s="36">
        <v>120</v>
      </c>
    </row>
    <row r="199" spans="1:48" ht="12.75">
      <c r="A199" s="443">
        <f t="shared" si="67"/>
        <v>183</v>
      </c>
      <c r="B199" s="498">
        <f t="shared" si="45"/>
        <v>0</v>
      </c>
      <c r="C199" s="499"/>
      <c r="D199" s="498">
        <f t="shared" si="46"/>
        <v>0</v>
      </c>
      <c r="E199" s="500"/>
      <c r="F199" s="500">
        <f t="shared" si="47"/>
        <v>0</v>
      </c>
      <c r="G199" s="500"/>
      <c r="H199" s="500">
        <f t="shared" si="48"/>
        <v>0</v>
      </c>
      <c r="I199" s="501"/>
      <c r="J199" s="505">
        <f t="shared" si="49"/>
        <v>0</v>
      </c>
      <c r="K199" s="501"/>
      <c r="L199" s="502"/>
      <c r="M199" s="501"/>
      <c r="N199" s="500">
        <v>0</v>
      </c>
      <c r="O199" s="6"/>
      <c r="P199" s="457">
        <f t="shared" si="50"/>
        <v>0</v>
      </c>
      <c r="Q199" s="1"/>
      <c r="R199" s="500">
        <f t="shared" si="51"/>
        <v>0</v>
      </c>
      <c r="S199" s="500"/>
      <c r="T199" s="500">
        <f>IF(B199&lt;=0,0,B199*IF('Simulador 7x5'!$Y$81=1,0,'Simulador 7x5'!$U$75))</f>
        <v>0</v>
      </c>
      <c r="U199" s="500"/>
      <c r="V199" s="513">
        <f>IF(B199&lt;=0,0,IF('Simulador 7x5'!$T$41=1,'Simulador 7x5'!$E$55,'Simulador 7x5'!$G$55))</f>
        <v>0</v>
      </c>
      <c r="W199" s="500"/>
      <c r="X199" s="500">
        <f t="shared" si="52"/>
        <v>0</v>
      </c>
      <c r="Y199" s="7"/>
      <c r="Z199" s="12"/>
      <c r="AA199" s="17"/>
      <c r="AB199" s="2">
        <f t="shared" si="53"/>
        <v>0</v>
      </c>
      <c r="AC199" s="21">
        <f t="shared" si="68"/>
        <v>0</v>
      </c>
      <c r="AD199" s="380">
        <f t="shared" si="54"/>
        <v>0</v>
      </c>
      <c r="AE199" s="380">
        <f t="shared" si="55"/>
        <v>0</v>
      </c>
      <c r="AF199" s="381">
        <f t="shared" si="56"/>
        <v>0</v>
      </c>
      <c r="AG199" s="380">
        <f t="shared" si="57"/>
        <v>0</v>
      </c>
      <c r="AH199" s="380">
        <f t="shared" si="58"/>
        <v>0</v>
      </c>
      <c r="AI199" s="380">
        <f>IF(AD199&lt;=0,0,AD199*IF('Simulador 7x5'!$Y$81=1,0,'Simulador 7x5'!$U$75))+IF(AD199&lt;=0,0,IF('Simulador 7x5'!$T$41=1,'Simulador 7x5'!$E$55,'Simulador 7x5'!$G$55))</f>
        <v>0</v>
      </c>
      <c r="AJ199" s="380">
        <f t="shared" si="59"/>
        <v>0</v>
      </c>
      <c r="AK199" s="109">
        <f t="shared" si="60"/>
        <v>0</v>
      </c>
      <c r="AM199" s="141">
        <v>15</v>
      </c>
      <c r="AN199" s="2">
        <v>0</v>
      </c>
      <c r="AO199" s="329">
        <f t="shared" si="61"/>
        <v>0</v>
      </c>
      <c r="AP199" s="329">
        <f t="shared" si="62"/>
        <v>0</v>
      </c>
      <c r="AQ199" s="20">
        <f t="shared" si="63"/>
        <v>0</v>
      </c>
      <c r="AR199" s="36"/>
      <c r="AS199">
        <f t="shared" si="64"/>
        <v>0</v>
      </c>
      <c r="AT199" s="384">
        <f t="shared" si="65"/>
      </c>
      <c r="AU199" s="385">
        <f t="shared" si="66"/>
        <v>0</v>
      </c>
      <c r="AV199" s="36">
        <v>120</v>
      </c>
    </row>
    <row r="200" spans="1:48" ht="12.75">
      <c r="A200" s="443">
        <f t="shared" si="67"/>
        <v>184</v>
      </c>
      <c r="B200" s="498">
        <f t="shared" si="45"/>
        <v>0</v>
      </c>
      <c r="C200" s="499"/>
      <c r="D200" s="498">
        <f t="shared" si="46"/>
        <v>0</v>
      </c>
      <c r="E200" s="500"/>
      <c r="F200" s="500">
        <f t="shared" si="47"/>
        <v>0</v>
      </c>
      <c r="G200" s="500"/>
      <c r="H200" s="500">
        <f t="shared" si="48"/>
        <v>0</v>
      </c>
      <c r="I200" s="501"/>
      <c r="J200" s="505">
        <f t="shared" si="49"/>
        <v>0</v>
      </c>
      <c r="K200" s="501"/>
      <c r="L200" s="502"/>
      <c r="M200" s="501"/>
      <c r="N200" s="500">
        <v>0</v>
      </c>
      <c r="O200" s="6"/>
      <c r="P200" s="457">
        <f t="shared" si="50"/>
        <v>0</v>
      </c>
      <c r="Q200" s="1"/>
      <c r="R200" s="500">
        <f t="shared" si="51"/>
        <v>0</v>
      </c>
      <c r="S200" s="500"/>
      <c r="T200" s="500">
        <f>IF(B200&lt;=0,0,B200*IF('Simulador 7x5'!$Y$81=1,0,'Simulador 7x5'!$U$75))</f>
        <v>0</v>
      </c>
      <c r="U200" s="500"/>
      <c r="V200" s="513">
        <f>IF(B200&lt;=0,0,IF('Simulador 7x5'!$T$41=1,'Simulador 7x5'!$E$55,'Simulador 7x5'!$G$55))</f>
        <v>0</v>
      </c>
      <c r="W200" s="500"/>
      <c r="X200" s="500">
        <f t="shared" si="52"/>
        <v>0</v>
      </c>
      <c r="Y200" s="7"/>
      <c r="Z200" s="12"/>
      <c r="AA200" s="17"/>
      <c r="AB200" s="2">
        <f t="shared" si="53"/>
        <v>0</v>
      </c>
      <c r="AC200" s="21">
        <f t="shared" si="68"/>
        <v>0</v>
      </c>
      <c r="AD200" s="380">
        <f t="shared" si="54"/>
        <v>0</v>
      </c>
      <c r="AE200" s="380">
        <f t="shared" si="55"/>
        <v>0</v>
      </c>
      <c r="AF200" s="381">
        <f t="shared" si="56"/>
        <v>0</v>
      </c>
      <c r="AG200" s="380">
        <f t="shared" si="57"/>
        <v>0</v>
      </c>
      <c r="AH200" s="380">
        <f t="shared" si="58"/>
        <v>0</v>
      </c>
      <c r="AI200" s="380">
        <f>IF(AD200&lt;=0,0,AD200*IF('Simulador 7x5'!$Y$81=1,0,'Simulador 7x5'!$U$75))+IF(AD200&lt;=0,0,IF('Simulador 7x5'!$T$41=1,'Simulador 7x5'!$E$55,'Simulador 7x5'!$G$55))</f>
        <v>0</v>
      </c>
      <c r="AJ200" s="380">
        <f t="shared" si="59"/>
        <v>0</v>
      </c>
      <c r="AK200" s="109">
        <f t="shared" si="60"/>
        <v>0</v>
      </c>
      <c r="AM200" s="141">
        <v>15</v>
      </c>
      <c r="AN200" s="2">
        <v>0</v>
      </c>
      <c r="AO200" s="329">
        <f t="shared" si="61"/>
        <v>0</v>
      </c>
      <c r="AP200" s="329">
        <f t="shared" si="62"/>
        <v>0</v>
      </c>
      <c r="AQ200" s="20">
        <f t="shared" si="63"/>
        <v>0</v>
      </c>
      <c r="AR200" s="36"/>
      <c r="AS200">
        <f t="shared" si="64"/>
        <v>0</v>
      </c>
      <c r="AT200" s="384">
        <f t="shared" si="65"/>
      </c>
      <c r="AU200" s="385">
        <f t="shared" si="66"/>
        <v>0</v>
      </c>
      <c r="AV200" s="36">
        <v>120</v>
      </c>
    </row>
    <row r="201" spans="1:48" ht="12.75">
      <c r="A201" s="443">
        <f t="shared" si="67"/>
        <v>185</v>
      </c>
      <c r="B201" s="498">
        <f aca="true" t="shared" si="69" ref="B201:B256">IF(R200&lt;0.01,0,IF(A201=$B$9,R200+$D$9,IF(A201=$B$10,R200+$D$10,R200)))</f>
        <v>0</v>
      </c>
      <c r="C201" s="499"/>
      <c r="D201" s="498">
        <f aca="true" t="shared" si="70" ref="D201:D256">_xlfn.IFERROR((((P201/360*AU201)/(1-(1+(P201/360*AU201))^-AS201))*B201)*(1+Z201),0)</f>
        <v>0</v>
      </c>
      <c r="E201" s="500"/>
      <c r="F201" s="500">
        <f aca="true" t="shared" si="71" ref="F201:F256">IF(B201=0,0,P201/360*AU201*B201)</f>
        <v>0</v>
      </c>
      <c r="G201" s="500"/>
      <c r="H201" s="500">
        <f aca="true" t="shared" si="72" ref="H201:H256">D201-F201</f>
        <v>0</v>
      </c>
      <c r="I201" s="501"/>
      <c r="J201" s="505">
        <f aca="true" t="shared" si="73" ref="J201:J256">IF(B201-H201=0,0,J199)</f>
        <v>0</v>
      </c>
      <c r="K201" s="501"/>
      <c r="L201" s="502"/>
      <c r="M201" s="501"/>
      <c r="N201" s="500">
        <v>0</v>
      </c>
      <c r="O201" s="6"/>
      <c r="P201" s="457">
        <f aca="true" t="shared" si="74" ref="P201:P256">IF(B201=0,0,AC201)</f>
        <v>0</v>
      </c>
      <c r="Q201" s="1"/>
      <c r="R201" s="500">
        <f aca="true" t="shared" si="75" ref="R201:R256">B201-H201-J201-L201+N201</f>
        <v>0</v>
      </c>
      <c r="S201" s="500"/>
      <c r="T201" s="500">
        <f>IF(B201&lt;=0,0,B201*IF('Simulador 7x5'!$Y$81=1,0,'Simulador 7x5'!$U$75))</f>
        <v>0</v>
      </c>
      <c r="U201" s="500"/>
      <c r="V201" s="513">
        <f>IF(B201&lt;=0,0,IF('Simulador 7x5'!$T$41=1,'Simulador 7x5'!$E$55,'Simulador 7x5'!$G$55))</f>
        <v>0</v>
      </c>
      <c r="W201" s="500"/>
      <c r="X201" s="500">
        <f aca="true" t="shared" si="76" ref="X201:X256">IF(B201&lt;=0,0,(D201+L201+T201+V201))</f>
        <v>0</v>
      </c>
      <c r="Y201" s="7"/>
      <c r="Z201" s="12"/>
      <c r="AA201" s="17"/>
      <c r="AB201" s="2">
        <f aca="true" t="shared" si="77" ref="AB201:AB256">X201</f>
        <v>0</v>
      </c>
      <c r="AC201" s="21">
        <f aca="true" t="shared" si="78" ref="AC201:AC256">IF(AD201&lt;=0.01,0,AC200)</f>
        <v>0</v>
      </c>
      <c r="AD201" s="380">
        <f aca="true" t="shared" si="79" ref="AD201:AD256">IF(AH200&lt;0.01,0,IF(A201=$B$9,AH200+$D$9,IF(A201=$B$10,AH200+$D$10,AH200)))</f>
        <v>0</v>
      </c>
      <c r="AE201" s="380">
        <f aca="true" t="shared" si="80" ref="AE201:AE256">_xlfn.IFERROR((((AC201/360*AU201)/(1-(1+(AC201/360*AU201))^-AS201)*AD201))*(1+Z201),0)</f>
        <v>0</v>
      </c>
      <c r="AF201" s="381">
        <f aca="true" t="shared" si="81" ref="AF201:AF256">_xlfn.IFERROR(AC201/360*AU201*AD201,0)</f>
        <v>0</v>
      </c>
      <c r="AG201" s="380">
        <f aca="true" t="shared" si="82" ref="AG201:AG256">+AE201-AF201</f>
        <v>0</v>
      </c>
      <c r="AH201" s="380">
        <f aca="true" t="shared" si="83" ref="AH201:AH256">+AD201-AG201</f>
        <v>0</v>
      </c>
      <c r="AI201" s="380">
        <f>IF(AD201&lt;=0,0,AD201*IF('Simulador 7x5'!$Y$81=1,0,'Simulador 7x5'!$U$75))+IF(AD201&lt;=0,0,IF('Simulador 7x5'!$T$41=1,'Simulador 7x5'!$E$55,'Simulador 7x5'!$G$55))</f>
        <v>0</v>
      </c>
      <c r="AJ201" s="380">
        <f aca="true" t="shared" si="84" ref="AJ201:AJ256">IF(AD201&lt;=0,0,AE201+AI201)</f>
        <v>0</v>
      </c>
      <c r="AK201" s="109">
        <f aca="true" t="shared" si="85" ref="AK201:AK256">_xlfn.IFERROR(AE201/AD201,0)</f>
        <v>0</v>
      </c>
      <c r="AM201" s="141">
        <v>15</v>
      </c>
      <c r="AN201" s="2">
        <v>0</v>
      </c>
      <c r="AO201" s="329">
        <f aca="true" t="shared" si="86" ref="AO201:AO256">+IF(R201&lt;=0.01,IF(R200&gt;1,+A201,0),0)</f>
        <v>0</v>
      </c>
      <c r="AP201" s="329">
        <f aca="true" t="shared" si="87" ref="AP201:AP255">+IF(AO201&gt;0,+AM201,0)</f>
        <v>0</v>
      </c>
      <c r="AQ201" s="20">
        <f aca="true" t="shared" si="88" ref="AQ201:AQ256">+IF(AO201&gt;0,+AN201,0)</f>
        <v>0</v>
      </c>
      <c r="AR201" s="36"/>
      <c r="AS201">
        <f aca="true" t="shared" si="89" ref="AS201:AS256">_xlfn.IFERROR(IF(AD201&lt;=0.01,0,AS200-1),0)</f>
        <v>0</v>
      </c>
      <c r="AT201" s="384">
        <f aca="true" t="shared" si="90" ref="AT201:AT256">IF(AK200=0,"",DATE(YEAR(AT200),MONTH(AT200)+1,1))</f>
      </c>
      <c r="AU201" s="385">
        <f aca="true" t="shared" si="91" ref="AU201:AU256">_xlfn.IFERROR(DAY(DATE(YEAR(AT201),MONTH(AT201)+1,0)),0)</f>
        <v>0</v>
      </c>
      <c r="AV201" s="36">
        <v>120</v>
      </c>
    </row>
    <row r="202" spans="1:48" ht="12.75">
      <c r="A202" s="443">
        <f aca="true" t="shared" si="92" ref="A202:A256">+A201+1</f>
        <v>186</v>
      </c>
      <c r="B202" s="498">
        <f t="shared" si="69"/>
        <v>0</v>
      </c>
      <c r="C202" s="499"/>
      <c r="D202" s="498">
        <f t="shared" si="70"/>
        <v>0</v>
      </c>
      <c r="E202" s="500"/>
      <c r="F202" s="500">
        <f t="shared" si="71"/>
        <v>0</v>
      </c>
      <c r="G202" s="500"/>
      <c r="H202" s="500">
        <f t="shared" si="72"/>
        <v>0</v>
      </c>
      <c r="I202" s="501"/>
      <c r="J202" s="505">
        <f t="shared" si="73"/>
        <v>0</v>
      </c>
      <c r="K202" s="501"/>
      <c r="L202" s="502"/>
      <c r="M202" s="501"/>
      <c r="N202" s="500">
        <v>0</v>
      </c>
      <c r="O202" s="6"/>
      <c r="P202" s="457">
        <f t="shared" si="74"/>
        <v>0</v>
      </c>
      <c r="Q202" s="1"/>
      <c r="R202" s="500">
        <f t="shared" si="75"/>
        <v>0</v>
      </c>
      <c r="S202" s="500"/>
      <c r="T202" s="500">
        <f>IF(B202&lt;=0,0,B202*IF('Simulador 7x5'!$Y$81=1,0,'Simulador 7x5'!$U$75))</f>
        <v>0</v>
      </c>
      <c r="U202" s="500"/>
      <c r="V202" s="513">
        <f>IF(B202&lt;=0,0,IF('Simulador 7x5'!$T$41=1,'Simulador 7x5'!$E$55,'Simulador 7x5'!$G$55))</f>
        <v>0</v>
      </c>
      <c r="W202" s="500"/>
      <c r="X202" s="500">
        <f t="shared" si="76"/>
        <v>0</v>
      </c>
      <c r="Y202" s="7"/>
      <c r="Z202" s="12"/>
      <c r="AA202" s="17"/>
      <c r="AB202" s="2">
        <f t="shared" si="77"/>
        <v>0</v>
      </c>
      <c r="AC202" s="21">
        <f t="shared" si="78"/>
        <v>0</v>
      </c>
      <c r="AD202" s="380">
        <f t="shared" si="79"/>
        <v>0</v>
      </c>
      <c r="AE202" s="380">
        <f t="shared" si="80"/>
        <v>0</v>
      </c>
      <c r="AF202" s="381">
        <f t="shared" si="81"/>
        <v>0</v>
      </c>
      <c r="AG202" s="380">
        <f t="shared" si="82"/>
        <v>0</v>
      </c>
      <c r="AH202" s="380">
        <f t="shared" si="83"/>
        <v>0</v>
      </c>
      <c r="AI202" s="380">
        <f>IF(AD202&lt;=0,0,AD202*IF('Simulador 7x5'!$Y$81=1,0,'Simulador 7x5'!$U$75))+IF(AD202&lt;=0,0,IF('Simulador 7x5'!$T$41=1,'Simulador 7x5'!$E$55,'Simulador 7x5'!$G$55))</f>
        <v>0</v>
      </c>
      <c r="AJ202" s="380">
        <f t="shared" si="84"/>
        <v>0</v>
      </c>
      <c r="AK202" s="109">
        <f t="shared" si="85"/>
        <v>0</v>
      </c>
      <c r="AM202" s="141">
        <v>15</v>
      </c>
      <c r="AN202" s="2">
        <v>0</v>
      </c>
      <c r="AO202" s="329">
        <f t="shared" si="86"/>
        <v>0</v>
      </c>
      <c r="AP202" s="329">
        <f t="shared" si="87"/>
        <v>0</v>
      </c>
      <c r="AQ202" s="20">
        <f t="shared" si="88"/>
        <v>0</v>
      </c>
      <c r="AR202" s="36"/>
      <c r="AS202">
        <f t="shared" si="89"/>
        <v>0</v>
      </c>
      <c r="AT202" s="384">
        <f t="shared" si="90"/>
      </c>
      <c r="AU202" s="385">
        <f t="shared" si="91"/>
        <v>0</v>
      </c>
      <c r="AV202" s="36">
        <v>120</v>
      </c>
    </row>
    <row r="203" spans="1:48" ht="12.75">
      <c r="A203" s="443">
        <f t="shared" si="92"/>
        <v>187</v>
      </c>
      <c r="B203" s="498">
        <f t="shared" si="69"/>
        <v>0</v>
      </c>
      <c r="C203" s="499"/>
      <c r="D203" s="498">
        <f t="shared" si="70"/>
        <v>0</v>
      </c>
      <c r="E203" s="500"/>
      <c r="F203" s="500">
        <f t="shared" si="71"/>
        <v>0</v>
      </c>
      <c r="G203" s="500"/>
      <c r="H203" s="500">
        <f t="shared" si="72"/>
        <v>0</v>
      </c>
      <c r="I203" s="501"/>
      <c r="J203" s="505">
        <f t="shared" si="73"/>
        <v>0</v>
      </c>
      <c r="K203" s="501"/>
      <c r="L203" s="502"/>
      <c r="M203" s="501"/>
      <c r="N203" s="500">
        <v>0</v>
      </c>
      <c r="O203" s="6"/>
      <c r="P203" s="457">
        <f t="shared" si="74"/>
        <v>0</v>
      </c>
      <c r="Q203" s="1"/>
      <c r="R203" s="500">
        <f t="shared" si="75"/>
        <v>0</v>
      </c>
      <c r="S203" s="500"/>
      <c r="T203" s="500">
        <f>IF(B203&lt;=0,0,B203*IF('Simulador 7x5'!$Y$81=1,0,'Simulador 7x5'!$U$75))</f>
        <v>0</v>
      </c>
      <c r="U203" s="500"/>
      <c r="V203" s="513">
        <f>IF(B203&lt;=0,0,IF('Simulador 7x5'!$T$41=1,'Simulador 7x5'!$E$55,'Simulador 7x5'!$G$55))</f>
        <v>0</v>
      </c>
      <c r="W203" s="500"/>
      <c r="X203" s="500">
        <f t="shared" si="76"/>
        <v>0</v>
      </c>
      <c r="Y203" s="7"/>
      <c r="Z203" s="12"/>
      <c r="AA203" s="17"/>
      <c r="AB203" s="2">
        <f t="shared" si="77"/>
        <v>0</v>
      </c>
      <c r="AC203" s="21">
        <f t="shared" si="78"/>
        <v>0</v>
      </c>
      <c r="AD203" s="380">
        <f t="shared" si="79"/>
        <v>0</v>
      </c>
      <c r="AE203" s="380">
        <f t="shared" si="80"/>
        <v>0</v>
      </c>
      <c r="AF203" s="381">
        <f t="shared" si="81"/>
        <v>0</v>
      </c>
      <c r="AG203" s="380">
        <f t="shared" si="82"/>
        <v>0</v>
      </c>
      <c r="AH203" s="380">
        <f t="shared" si="83"/>
        <v>0</v>
      </c>
      <c r="AI203" s="380">
        <f>IF(AD203&lt;=0,0,AD203*IF('Simulador 7x5'!$Y$81=1,0,'Simulador 7x5'!$U$75))+IF(AD203&lt;=0,0,IF('Simulador 7x5'!$T$41=1,'Simulador 7x5'!$E$55,'Simulador 7x5'!$G$55))</f>
        <v>0</v>
      </c>
      <c r="AJ203" s="380">
        <f t="shared" si="84"/>
        <v>0</v>
      </c>
      <c r="AK203" s="109">
        <f t="shared" si="85"/>
        <v>0</v>
      </c>
      <c r="AM203" s="141">
        <v>15</v>
      </c>
      <c r="AN203" s="2">
        <v>0</v>
      </c>
      <c r="AO203" s="329">
        <f t="shared" si="86"/>
        <v>0</v>
      </c>
      <c r="AP203" s="329">
        <f t="shared" si="87"/>
        <v>0</v>
      </c>
      <c r="AQ203" s="20">
        <f t="shared" si="88"/>
        <v>0</v>
      </c>
      <c r="AR203" s="36"/>
      <c r="AS203">
        <f t="shared" si="89"/>
        <v>0</v>
      </c>
      <c r="AT203" s="384">
        <f t="shared" si="90"/>
      </c>
      <c r="AU203" s="385">
        <f t="shared" si="91"/>
        <v>0</v>
      </c>
      <c r="AV203" s="36">
        <v>120</v>
      </c>
    </row>
    <row r="204" spans="1:48" ht="12.75">
      <c r="A204" s="443">
        <f t="shared" si="92"/>
        <v>188</v>
      </c>
      <c r="B204" s="498">
        <f t="shared" si="69"/>
        <v>0</v>
      </c>
      <c r="C204" s="499"/>
      <c r="D204" s="498">
        <f t="shared" si="70"/>
        <v>0</v>
      </c>
      <c r="E204" s="500"/>
      <c r="F204" s="500">
        <f t="shared" si="71"/>
        <v>0</v>
      </c>
      <c r="G204" s="500"/>
      <c r="H204" s="500">
        <f t="shared" si="72"/>
        <v>0</v>
      </c>
      <c r="I204" s="501"/>
      <c r="J204" s="505">
        <f t="shared" si="73"/>
        <v>0</v>
      </c>
      <c r="K204" s="501"/>
      <c r="L204" s="502"/>
      <c r="M204" s="501"/>
      <c r="N204" s="500">
        <v>0</v>
      </c>
      <c r="O204" s="6"/>
      <c r="P204" s="457">
        <f t="shared" si="74"/>
        <v>0</v>
      </c>
      <c r="Q204" s="1"/>
      <c r="R204" s="500">
        <f t="shared" si="75"/>
        <v>0</v>
      </c>
      <c r="S204" s="500"/>
      <c r="T204" s="500">
        <f>IF(B204&lt;=0,0,B204*IF('Simulador 7x5'!$Y$81=1,0,'Simulador 7x5'!$U$75))</f>
        <v>0</v>
      </c>
      <c r="U204" s="500"/>
      <c r="V204" s="513">
        <f>IF(B204&lt;=0,0,IF('Simulador 7x5'!$T$41=1,'Simulador 7x5'!$E$55,'Simulador 7x5'!$G$55))</f>
        <v>0</v>
      </c>
      <c r="W204" s="500"/>
      <c r="X204" s="500">
        <f t="shared" si="76"/>
        <v>0</v>
      </c>
      <c r="Y204" s="7"/>
      <c r="Z204" s="12"/>
      <c r="AA204" s="17"/>
      <c r="AB204" s="2">
        <f t="shared" si="77"/>
        <v>0</v>
      </c>
      <c r="AC204" s="21">
        <f t="shared" si="78"/>
        <v>0</v>
      </c>
      <c r="AD204" s="380">
        <f t="shared" si="79"/>
        <v>0</v>
      </c>
      <c r="AE204" s="380">
        <f t="shared" si="80"/>
        <v>0</v>
      </c>
      <c r="AF204" s="381">
        <f t="shared" si="81"/>
        <v>0</v>
      </c>
      <c r="AG204" s="380">
        <f t="shared" si="82"/>
        <v>0</v>
      </c>
      <c r="AH204" s="380">
        <f t="shared" si="83"/>
        <v>0</v>
      </c>
      <c r="AI204" s="380">
        <f>IF(AD204&lt;=0,0,AD204*IF('Simulador 7x5'!$Y$81=1,0,'Simulador 7x5'!$U$75))+IF(AD204&lt;=0,0,IF('Simulador 7x5'!$T$41=1,'Simulador 7x5'!$E$55,'Simulador 7x5'!$G$55))</f>
        <v>0</v>
      </c>
      <c r="AJ204" s="380">
        <f t="shared" si="84"/>
        <v>0</v>
      </c>
      <c r="AK204" s="109">
        <f t="shared" si="85"/>
        <v>0</v>
      </c>
      <c r="AM204" s="141">
        <v>15</v>
      </c>
      <c r="AN204" s="2">
        <v>0</v>
      </c>
      <c r="AO204" s="329">
        <f t="shared" si="86"/>
        <v>0</v>
      </c>
      <c r="AP204" s="329">
        <f t="shared" si="87"/>
        <v>0</v>
      </c>
      <c r="AQ204" s="20">
        <f t="shared" si="88"/>
        <v>0</v>
      </c>
      <c r="AR204" s="36"/>
      <c r="AS204">
        <f t="shared" si="89"/>
        <v>0</v>
      </c>
      <c r="AT204" s="384">
        <f t="shared" si="90"/>
      </c>
      <c r="AU204" s="385">
        <f t="shared" si="91"/>
        <v>0</v>
      </c>
      <c r="AV204" s="36">
        <v>120</v>
      </c>
    </row>
    <row r="205" spans="1:48" ht="12.75">
      <c r="A205" s="443">
        <f t="shared" si="92"/>
        <v>189</v>
      </c>
      <c r="B205" s="498">
        <f t="shared" si="69"/>
        <v>0</v>
      </c>
      <c r="C205" s="499"/>
      <c r="D205" s="498">
        <f t="shared" si="70"/>
        <v>0</v>
      </c>
      <c r="E205" s="500"/>
      <c r="F205" s="500">
        <f t="shared" si="71"/>
        <v>0</v>
      </c>
      <c r="G205" s="500"/>
      <c r="H205" s="500">
        <f t="shared" si="72"/>
        <v>0</v>
      </c>
      <c r="I205" s="501"/>
      <c r="J205" s="505">
        <f t="shared" si="73"/>
        <v>0</v>
      </c>
      <c r="K205" s="501"/>
      <c r="L205" s="502"/>
      <c r="M205" s="501"/>
      <c r="N205" s="500">
        <v>0</v>
      </c>
      <c r="O205" s="6"/>
      <c r="P205" s="457">
        <f t="shared" si="74"/>
        <v>0</v>
      </c>
      <c r="Q205" s="1"/>
      <c r="R205" s="500">
        <f t="shared" si="75"/>
        <v>0</v>
      </c>
      <c r="S205" s="500"/>
      <c r="T205" s="500">
        <f>IF(B205&lt;=0,0,B205*IF('Simulador 7x5'!$Y$81=1,0,'Simulador 7x5'!$U$75))</f>
        <v>0</v>
      </c>
      <c r="U205" s="500"/>
      <c r="V205" s="513">
        <f>IF(B205&lt;=0,0,IF('Simulador 7x5'!$T$41=1,'Simulador 7x5'!$E$55,'Simulador 7x5'!$G$55))</f>
        <v>0</v>
      </c>
      <c r="W205" s="500"/>
      <c r="X205" s="500">
        <f t="shared" si="76"/>
        <v>0</v>
      </c>
      <c r="Y205" s="7"/>
      <c r="Z205" s="12"/>
      <c r="AA205" s="17"/>
      <c r="AB205" s="2">
        <f t="shared" si="77"/>
        <v>0</v>
      </c>
      <c r="AC205" s="21">
        <f t="shared" si="78"/>
        <v>0</v>
      </c>
      <c r="AD205" s="380">
        <f t="shared" si="79"/>
        <v>0</v>
      </c>
      <c r="AE205" s="380">
        <f t="shared" si="80"/>
        <v>0</v>
      </c>
      <c r="AF205" s="381">
        <f t="shared" si="81"/>
        <v>0</v>
      </c>
      <c r="AG205" s="380">
        <f t="shared" si="82"/>
        <v>0</v>
      </c>
      <c r="AH205" s="380">
        <f t="shared" si="83"/>
        <v>0</v>
      </c>
      <c r="AI205" s="380">
        <f>IF(AD205&lt;=0,0,AD205*IF('Simulador 7x5'!$Y$81=1,0,'Simulador 7x5'!$U$75))+IF(AD205&lt;=0,0,IF('Simulador 7x5'!$T$41=1,'Simulador 7x5'!$E$55,'Simulador 7x5'!$G$55))</f>
        <v>0</v>
      </c>
      <c r="AJ205" s="380">
        <f t="shared" si="84"/>
        <v>0</v>
      </c>
      <c r="AK205" s="109">
        <f t="shared" si="85"/>
        <v>0</v>
      </c>
      <c r="AM205" s="141">
        <v>15</v>
      </c>
      <c r="AN205" s="2">
        <v>0</v>
      </c>
      <c r="AO205" s="329">
        <f t="shared" si="86"/>
        <v>0</v>
      </c>
      <c r="AP205" s="329">
        <f t="shared" si="87"/>
        <v>0</v>
      </c>
      <c r="AQ205" s="20">
        <f t="shared" si="88"/>
        <v>0</v>
      </c>
      <c r="AR205" s="36"/>
      <c r="AS205">
        <f t="shared" si="89"/>
        <v>0</v>
      </c>
      <c r="AT205" s="384">
        <f t="shared" si="90"/>
      </c>
      <c r="AU205" s="385">
        <f t="shared" si="91"/>
        <v>0</v>
      </c>
      <c r="AV205" s="36">
        <v>120</v>
      </c>
    </row>
    <row r="206" spans="1:48" ht="12.75">
      <c r="A206" s="443">
        <f t="shared" si="92"/>
        <v>190</v>
      </c>
      <c r="B206" s="498">
        <f t="shared" si="69"/>
        <v>0</v>
      </c>
      <c r="C206" s="499"/>
      <c r="D206" s="498">
        <f t="shared" si="70"/>
        <v>0</v>
      </c>
      <c r="E206" s="500"/>
      <c r="F206" s="500">
        <f t="shared" si="71"/>
        <v>0</v>
      </c>
      <c r="G206" s="500"/>
      <c r="H206" s="500">
        <f t="shared" si="72"/>
        <v>0</v>
      </c>
      <c r="I206" s="501"/>
      <c r="J206" s="505">
        <f t="shared" si="73"/>
        <v>0</v>
      </c>
      <c r="K206" s="501"/>
      <c r="L206" s="502"/>
      <c r="M206" s="501"/>
      <c r="N206" s="500">
        <v>0</v>
      </c>
      <c r="O206" s="6"/>
      <c r="P206" s="457">
        <f t="shared" si="74"/>
        <v>0</v>
      </c>
      <c r="Q206" s="1"/>
      <c r="R206" s="500">
        <f t="shared" si="75"/>
        <v>0</v>
      </c>
      <c r="S206" s="500"/>
      <c r="T206" s="500">
        <f>IF(B206&lt;=0,0,B206*IF('Simulador 7x5'!$Y$81=1,0,'Simulador 7x5'!$U$75))</f>
        <v>0</v>
      </c>
      <c r="U206" s="500"/>
      <c r="V206" s="513">
        <f>IF(B206&lt;=0,0,IF('Simulador 7x5'!$T$41=1,'Simulador 7x5'!$E$55,'Simulador 7x5'!$G$55))</f>
        <v>0</v>
      </c>
      <c r="W206" s="500"/>
      <c r="X206" s="500">
        <f t="shared" si="76"/>
        <v>0</v>
      </c>
      <c r="Y206" s="7"/>
      <c r="Z206" s="12"/>
      <c r="AA206" s="17"/>
      <c r="AB206" s="2">
        <f t="shared" si="77"/>
        <v>0</v>
      </c>
      <c r="AC206" s="21">
        <f t="shared" si="78"/>
        <v>0</v>
      </c>
      <c r="AD206" s="380">
        <f t="shared" si="79"/>
        <v>0</v>
      </c>
      <c r="AE206" s="380">
        <f t="shared" si="80"/>
        <v>0</v>
      </c>
      <c r="AF206" s="381">
        <f t="shared" si="81"/>
        <v>0</v>
      </c>
      <c r="AG206" s="380">
        <f t="shared" si="82"/>
        <v>0</v>
      </c>
      <c r="AH206" s="380">
        <f t="shared" si="83"/>
        <v>0</v>
      </c>
      <c r="AI206" s="380">
        <f>IF(AD206&lt;=0,0,AD206*IF('Simulador 7x5'!$Y$81=1,0,'Simulador 7x5'!$U$75))+IF(AD206&lt;=0,0,IF('Simulador 7x5'!$T$41=1,'Simulador 7x5'!$E$55,'Simulador 7x5'!$G$55))</f>
        <v>0</v>
      </c>
      <c r="AJ206" s="380">
        <f t="shared" si="84"/>
        <v>0</v>
      </c>
      <c r="AK206" s="109">
        <f t="shared" si="85"/>
        <v>0</v>
      </c>
      <c r="AM206" s="141">
        <v>15</v>
      </c>
      <c r="AN206" s="2">
        <v>0</v>
      </c>
      <c r="AO206" s="329">
        <f t="shared" si="86"/>
        <v>0</v>
      </c>
      <c r="AP206" s="329">
        <f t="shared" si="87"/>
        <v>0</v>
      </c>
      <c r="AQ206" s="20">
        <f t="shared" si="88"/>
        <v>0</v>
      </c>
      <c r="AR206" s="36"/>
      <c r="AS206">
        <f t="shared" si="89"/>
        <v>0</v>
      </c>
      <c r="AT206" s="384">
        <f t="shared" si="90"/>
      </c>
      <c r="AU206" s="385">
        <f t="shared" si="91"/>
        <v>0</v>
      </c>
      <c r="AV206" s="36">
        <v>120</v>
      </c>
    </row>
    <row r="207" spans="1:48" ht="12.75">
      <c r="A207" s="443">
        <f t="shared" si="92"/>
        <v>191</v>
      </c>
      <c r="B207" s="498">
        <f t="shared" si="69"/>
        <v>0</v>
      </c>
      <c r="C207" s="499"/>
      <c r="D207" s="498">
        <f t="shared" si="70"/>
        <v>0</v>
      </c>
      <c r="E207" s="500"/>
      <c r="F207" s="500">
        <f t="shared" si="71"/>
        <v>0</v>
      </c>
      <c r="G207" s="500"/>
      <c r="H207" s="500">
        <f t="shared" si="72"/>
        <v>0</v>
      </c>
      <c r="I207" s="501"/>
      <c r="J207" s="505">
        <f t="shared" si="73"/>
        <v>0</v>
      </c>
      <c r="K207" s="501"/>
      <c r="L207" s="502"/>
      <c r="M207" s="501"/>
      <c r="N207" s="500">
        <v>0</v>
      </c>
      <c r="O207" s="6"/>
      <c r="P207" s="457">
        <f t="shared" si="74"/>
        <v>0</v>
      </c>
      <c r="Q207" s="1"/>
      <c r="R207" s="500">
        <f t="shared" si="75"/>
        <v>0</v>
      </c>
      <c r="S207" s="500"/>
      <c r="T207" s="500">
        <f>IF(B207&lt;=0,0,B207*IF('Simulador 7x5'!$Y$81=1,0,'Simulador 7x5'!$U$75))</f>
        <v>0</v>
      </c>
      <c r="U207" s="500"/>
      <c r="V207" s="513">
        <f>IF(B207&lt;=0,0,IF('Simulador 7x5'!$T$41=1,'Simulador 7x5'!$E$55,'Simulador 7x5'!$G$55))</f>
        <v>0</v>
      </c>
      <c r="W207" s="500"/>
      <c r="X207" s="500">
        <f t="shared" si="76"/>
        <v>0</v>
      </c>
      <c r="Y207" s="7"/>
      <c r="Z207" s="12"/>
      <c r="AA207" s="17"/>
      <c r="AB207" s="2">
        <f t="shared" si="77"/>
        <v>0</v>
      </c>
      <c r="AC207" s="21">
        <f t="shared" si="78"/>
        <v>0</v>
      </c>
      <c r="AD207" s="380">
        <f t="shared" si="79"/>
        <v>0</v>
      </c>
      <c r="AE207" s="380">
        <f t="shared" si="80"/>
        <v>0</v>
      </c>
      <c r="AF207" s="381">
        <f t="shared" si="81"/>
        <v>0</v>
      </c>
      <c r="AG207" s="380">
        <f t="shared" si="82"/>
        <v>0</v>
      </c>
      <c r="AH207" s="380">
        <f t="shared" si="83"/>
        <v>0</v>
      </c>
      <c r="AI207" s="380">
        <f>IF(AD207&lt;=0,0,AD207*IF('Simulador 7x5'!$Y$81=1,0,'Simulador 7x5'!$U$75))+IF(AD207&lt;=0,0,IF('Simulador 7x5'!$T$41=1,'Simulador 7x5'!$E$55,'Simulador 7x5'!$G$55))</f>
        <v>0</v>
      </c>
      <c r="AJ207" s="380">
        <f t="shared" si="84"/>
        <v>0</v>
      </c>
      <c r="AK207" s="109">
        <f t="shared" si="85"/>
        <v>0</v>
      </c>
      <c r="AM207" s="141">
        <v>15</v>
      </c>
      <c r="AN207" s="2">
        <v>0</v>
      </c>
      <c r="AO207" s="329">
        <f t="shared" si="86"/>
        <v>0</v>
      </c>
      <c r="AP207" s="329">
        <f t="shared" si="87"/>
        <v>0</v>
      </c>
      <c r="AQ207" s="20">
        <f t="shared" si="88"/>
        <v>0</v>
      </c>
      <c r="AR207" s="36"/>
      <c r="AS207">
        <f t="shared" si="89"/>
        <v>0</v>
      </c>
      <c r="AT207" s="384">
        <f t="shared" si="90"/>
      </c>
      <c r="AU207" s="385">
        <f t="shared" si="91"/>
        <v>0</v>
      </c>
      <c r="AV207" s="36">
        <v>120</v>
      </c>
    </row>
    <row r="208" spans="1:48" ht="12.75">
      <c r="A208" s="443">
        <f t="shared" si="92"/>
        <v>192</v>
      </c>
      <c r="B208" s="498">
        <f t="shared" si="69"/>
        <v>0</v>
      </c>
      <c r="C208" s="499"/>
      <c r="D208" s="498">
        <f t="shared" si="70"/>
        <v>0</v>
      </c>
      <c r="E208" s="500"/>
      <c r="F208" s="500">
        <f t="shared" si="71"/>
        <v>0</v>
      </c>
      <c r="G208" s="500"/>
      <c r="H208" s="500">
        <f t="shared" si="72"/>
        <v>0</v>
      </c>
      <c r="I208" s="501"/>
      <c r="J208" s="505">
        <f t="shared" si="73"/>
        <v>0</v>
      </c>
      <c r="K208" s="501"/>
      <c r="L208" s="502"/>
      <c r="M208" s="501"/>
      <c r="N208" s="500">
        <v>0</v>
      </c>
      <c r="O208" s="6"/>
      <c r="P208" s="457">
        <f t="shared" si="74"/>
        <v>0</v>
      </c>
      <c r="Q208" s="1"/>
      <c r="R208" s="500">
        <f t="shared" si="75"/>
        <v>0</v>
      </c>
      <c r="S208" s="500"/>
      <c r="T208" s="500">
        <f>IF(B208&lt;=0,0,B208*IF('Simulador 7x5'!$Y$81=1,0,'Simulador 7x5'!$U$75))</f>
        <v>0</v>
      </c>
      <c r="U208" s="500"/>
      <c r="V208" s="513">
        <f>IF(B208&lt;=0,0,IF('Simulador 7x5'!$T$41=1,'Simulador 7x5'!$E$55,'Simulador 7x5'!$G$55))</f>
        <v>0</v>
      </c>
      <c r="W208" s="500"/>
      <c r="X208" s="500">
        <f t="shared" si="76"/>
        <v>0</v>
      </c>
      <c r="Y208" s="7"/>
      <c r="Z208" s="12"/>
      <c r="AA208" s="17"/>
      <c r="AB208" s="2">
        <f t="shared" si="77"/>
        <v>0</v>
      </c>
      <c r="AC208" s="21">
        <f t="shared" si="78"/>
        <v>0</v>
      </c>
      <c r="AD208" s="380">
        <f t="shared" si="79"/>
        <v>0</v>
      </c>
      <c r="AE208" s="380">
        <f t="shared" si="80"/>
        <v>0</v>
      </c>
      <c r="AF208" s="381">
        <f t="shared" si="81"/>
        <v>0</v>
      </c>
      <c r="AG208" s="380">
        <f t="shared" si="82"/>
        <v>0</v>
      </c>
      <c r="AH208" s="380">
        <f t="shared" si="83"/>
        <v>0</v>
      </c>
      <c r="AI208" s="380">
        <f>IF(AD208&lt;=0,0,AD208*IF('Simulador 7x5'!$Y$81=1,0,'Simulador 7x5'!$U$75))+IF(AD208&lt;=0,0,IF('Simulador 7x5'!$T$41=1,'Simulador 7x5'!$E$55,'Simulador 7x5'!$G$55))</f>
        <v>0</v>
      </c>
      <c r="AJ208" s="380">
        <f t="shared" si="84"/>
        <v>0</v>
      </c>
      <c r="AK208" s="109">
        <f t="shared" si="85"/>
        <v>0</v>
      </c>
      <c r="AM208" s="141">
        <v>16</v>
      </c>
      <c r="AN208" s="2">
        <v>0</v>
      </c>
      <c r="AO208" s="329">
        <f t="shared" si="86"/>
        <v>0</v>
      </c>
      <c r="AP208" s="329">
        <f t="shared" si="87"/>
        <v>0</v>
      </c>
      <c r="AQ208" s="20">
        <f t="shared" si="88"/>
        <v>0</v>
      </c>
      <c r="AR208" s="36"/>
      <c r="AS208">
        <f t="shared" si="89"/>
        <v>0</v>
      </c>
      <c r="AT208" s="384">
        <f t="shared" si="90"/>
      </c>
      <c r="AU208" s="385">
        <f t="shared" si="91"/>
        <v>0</v>
      </c>
      <c r="AV208" s="36">
        <v>120</v>
      </c>
    </row>
    <row r="209" spans="1:48" ht="12.75">
      <c r="A209" s="443">
        <f t="shared" si="92"/>
        <v>193</v>
      </c>
      <c r="B209" s="498">
        <f t="shared" si="69"/>
        <v>0</v>
      </c>
      <c r="C209" s="499"/>
      <c r="D209" s="498">
        <f t="shared" si="70"/>
        <v>0</v>
      </c>
      <c r="E209" s="500"/>
      <c r="F209" s="500">
        <f t="shared" si="71"/>
        <v>0</v>
      </c>
      <c r="G209" s="500"/>
      <c r="H209" s="500">
        <f t="shared" si="72"/>
        <v>0</v>
      </c>
      <c r="I209" s="501"/>
      <c r="J209" s="505">
        <f t="shared" si="73"/>
        <v>0</v>
      </c>
      <c r="K209" s="501"/>
      <c r="L209" s="502"/>
      <c r="M209" s="501"/>
      <c r="N209" s="500">
        <v>0</v>
      </c>
      <c r="O209" s="6"/>
      <c r="P209" s="457">
        <f t="shared" si="74"/>
        <v>0</v>
      </c>
      <c r="Q209" s="1"/>
      <c r="R209" s="500">
        <f t="shared" si="75"/>
        <v>0</v>
      </c>
      <c r="S209" s="500"/>
      <c r="T209" s="500">
        <f>IF(B209&lt;=0,0,B209*IF('Simulador 7x5'!$Y$81=1,0,'Simulador 7x5'!$U$75))</f>
        <v>0</v>
      </c>
      <c r="U209" s="500"/>
      <c r="V209" s="513">
        <f>IF(B209&lt;=0,0,IF('Simulador 7x5'!$T$41=1,'Simulador 7x5'!$E$55,'Simulador 7x5'!$G$55))</f>
        <v>0</v>
      </c>
      <c r="W209" s="500"/>
      <c r="X209" s="500">
        <f t="shared" si="76"/>
        <v>0</v>
      </c>
      <c r="Y209" s="7"/>
      <c r="Z209" s="12"/>
      <c r="AA209" s="17"/>
      <c r="AB209" s="2">
        <f t="shared" si="77"/>
        <v>0</v>
      </c>
      <c r="AC209" s="21">
        <f t="shared" si="78"/>
        <v>0</v>
      </c>
      <c r="AD209" s="380">
        <f t="shared" si="79"/>
        <v>0</v>
      </c>
      <c r="AE209" s="380">
        <f t="shared" si="80"/>
        <v>0</v>
      </c>
      <c r="AF209" s="381">
        <f t="shared" si="81"/>
        <v>0</v>
      </c>
      <c r="AG209" s="380">
        <f t="shared" si="82"/>
        <v>0</v>
      </c>
      <c r="AH209" s="380">
        <f t="shared" si="83"/>
        <v>0</v>
      </c>
      <c r="AI209" s="380">
        <f>IF(AD209&lt;=0,0,AD209*IF('Simulador 7x5'!$Y$81=1,0,'Simulador 7x5'!$U$75))+IF(AD209&lt;=0,0,IF('Simulador 7x5'!$T$41=1,'Simulador 7x5'!$E$55,'Simulador 7x5'!$G$55))</f>
        <v>0</v>
      </c>
      <c r="AJ209" s="380">
        <f t="shared" si="84"/>
        <v>0</v>
      </c>
      <c r="AK209" s="109">
        <f t="shared" si="85"/>
        <v>0</v>
      </c>
      <c r="AM209" s="141">
        <v>16</v>
      </c>
      <c r="AN209" s="2">
        <v>0</v>
      </c>
      <c r="AO209" s="329">
        <f t="shared" si="86"/>
        <v>0</v>
      </c>
      <c r="AP209" s="329">
        <f t="shared" si="87"/>
        <v>0</v>
      </c>
      <c r="AQ209" s="20">
        <f t="shared" si="88"/>
        <v>0</v>
      </c>
      <c r="AR209" s="36"/>
      <c r="AS209">
        <f t="shared" si="89"/>
        <v>0</v>
      </c>
      <c r="AT209" s="384">
        <f t="shared" si="90"/>
      </c>
      <c r="AU209" s="385">
        <f t="shared" si="91"/>
        <v>0</v>
      </c>
      <c r="AV209" s="36">
        <v>120</v>
      </c>
    </row>
    <row r="210" spans="1:48" ht="12.75">
      <c r="A210" s="443">
        <f t="shared" si="92"/>
        <v>194</v>
      </c>
      <c r="B210" s="498">
        <f t="shared" si="69"/>
        <v>0</v>
      </c>
      <c r="C210" s="499"/>
      <c r="D210" s="498">
        <f t="shared" si="70"/>
        <v>0</v>
      </c>
      <c r="E210" s="500"/>
      <c r="F210" s="500">
        <f t="shared" si="71"/>
        <v>0</v>
      </c>
      <c r="G210" s="500"/>
      <c r="H210" s="500">
        <f t="shared" si="72"/>
        <v>0</v>
      </c>
      <c r="I210" s="501"/>
      <c r="J210" s="505">
        <f t="shared" si="73"/>
        <v>0</v>
      </c>
      <c r="K210" s="501"/>
      <c r="L210" s="502"/>
      <c r="M210" s="501"/>
      <c r="N210" s="500">
        <v>0</v>
      </c>
      <c r="O210" s="6"/>
      <c r="P210" s="457">
        <f t="shared" si="74"/>
        <v>0</v>
      </c>
      <c r="Q210" s="1"/>
      <c r="R210" s="500">
        <f t="shared" si="75"/>
        <v>0</v>
      </c>
      <c r="S210" s="500"/>
      <c r="T210" s="500">
        <f>IF(B210&lt;=0,0,B210*IF('Simulador 7x5'!$Y$81=1,0,'Simulador 7x5'!$U$75))</f>
        <v>0</v>
      </c>
      <c r="U210" s="500"/>
      <c r="V210" s="513">
        <f>IF(B210&lt;=0,0,IF('Simulador 7x5'!$T$41=1,'Simulador 7x5'!$E$55,'Simulador 7x5'!$G$55))</f>
        <v>0</v>
      </c>
      <c r="W210" s="500"/>
      <c r="X210" s="500">
        <f t="shared" si="76"/>
        <v>0</v>
      </c>
      <c r="Y210" s="7"/>
      <c r="Z210" s="12"/>
      <c r="AA210" s="17"/>
      <c r="AB210" s="2">
        <f t="shared" si="77"/>
        <v>0</v>
      </c>
      <c r="AC210" s="21">
        <f t="shared" si="78"/>
        <v>0</v>
      </c>
      <c r="AD210" s="380">
        <f t="shared" si="79"/>
        <v>0</v>
      </c>
      <c r="AE210" s="380">
        <f t="shared" si="80"/>
        <v>0</v>
      </c>
      <c r="AF210" s="381">
        <f t="shared" si="81"/>
        <v>0</v>
      </c>
      <c r="AG210" s="380">
        <f t="shared" si="82"/>
        <v>0</v>
      </c>
      <c r="AH210" s="380">
        <f t="shared" si="83"/>
        <v>0</v>
      </c>
      <c r="AI210" s="380">
        <f>IF(AD210&lt;=0,0,AD210*IF('Simulador 7x5'!$Y$81=1,0,'Simulador 7x5'!$U$75))+IF(AD210&lt;=0,0,IF('Simulador 7x5'!$T$41=1,'Simulador 7x5'!$E$55,'Simulador 7x5'!$G$55))</f>
        <v>0</v>
      </c>
      <c r="AJ210" s="380">
        <f t="shared" si="84"/>
        <v>0</v>
      </c>
      <c r="AK210" s="109">
        <f t="shared" si="85"/>
        <v>0</v>
      </c>
      <c r="AM210" s="141">
        <v>16</v>
      </c>
      <c r="AN210" s="2">
        <v>0</v>
      </c>
      <c r="AO210" s="329">
        <f t="shared" si="86"/>
        <v>0</v>
      </c>
      <c r="AP210" s="329">
        <f t="shared" si="87"/>
        <v>0</v>
      </c>
      <c r="AQ210" s="20">
        <f t="shared" si="88"/>
        <v>0</v>
      </c>
      <c r="AR210" s="36"/>
      <c r="AS210">
        <f t="shared" si="89"/>
        <v>0</v>
      </c>
      <c r="AT210" s="384">
        <f t="shared" si="90"/>
      </c>
      <c r="AU210" s="385">
        <f t="shared" si="91"/>
        <v>0</v>
      </c>
      <c r="AV210" s="36">
        <v>120</v>
      </c>
    </row>
    <row r="211" spans="1:48" ht="12.75">
      <c r="A211" s="443">
        <f t="shared" si="92"/>
        <v>195</v>
      </c>
      <c r="B211" s="498">
        <f t="shared" si="69"/>
        <v>0</v>
      </c>
      <c r="C211" s="499"/>
      <c r="D211" s="498">
        <f t="shared" si="70"/>
        <v>0</v>
      </c>
      <c r="E211" s="500"/>
      <c r="F211" s="500">
        <f t="shared" si="71"/>
        <v>0</v>
      </c>
      <c r="G211" s="500"/>
      <c r="H211" s="500">
        <f t="shared" si="72"/>
        <v>0</v>
      </c>
      <c r="I211" s="501"/>
      <c r="J211" s="505">
        <f t="shared" si="73"/>
        <v>0</v>
      </c>
      <c r="K211" s="501"/>
      <c r="L211" s="502"/>
      <c r="M211" s="501"/>
      <c r="N211" s="500">
        <v>0</v>
      </c>
      <c r="O211" s="6"/>
      <c r="P211" s="457">
        <f t="shared" si="74"/>
        <v>0</v>
      </c>
      <c r="Q211" s="1"/>
      <c r="R211" s="500">
        <f t="shared" si="75"/>
        <v>0</v>
      </c>
      <c r="S211" s="500"/>
      <c r="T211" s="500">
        <f>IF(B211&lt;=0,0,B211*IF('Simulador 7x5'!$Y$81=1,0,'Simulador 7x5'!$U$75))</f>
        <v>0</v>
      </c>
      <c r="U211" s="500"/>
      <c r="V211" s="513">
        <f>IF(B211&lt;=0,0,IF('Simulador 7x5'!$T$41=1,'Simulador 7x5'!$E$55,'Simulador 7x5'!$G$55))</f>
        <v>0</v>
      </c>
      <c r="W211" s="500"/>
      <c r="X211" s="500">
        <f t="shared" si="76"/>
        <v>0</v>
      </c>
      <c r="Y211" s="7"/>
      <c r="Z211" s="12"/>
      <c r="AA211" s="17"/>
      <c r="AB211" s="2">
        <f t="shared" si="77"/>
        <v>0</v>
      </c>
      <c r="AC211" s="21">
        <f t="shared" si="78"/>
        <v>0</v>
      </c>
      <c r="AD211" s="380">
        <f t="shared" si="79"/>
        <v>0</v>
      </c>
      <c r="AE211" s="380">
        <f t="shared" si="80"/>
        <v>0</v>
      </c>
      <c r="AF211" s="381">
        <f t="shared" si="81"/>
        <v>0</v>
      </c>
      <c r="AG211" s="380">
        <f t="shared" si="82"/>
        <v>0</v>
      </c>
      <c r="AH211" s="380">
        <f t="shared" si="83"/>
        <v>0</v>
      </c>
      <c r="AI211" s="380">
        <f>IF(AD211&lt;=0,0,AD211*IF('Simulador 7x5'!$Y$81=1,0,'Simulador 7x5'!$U$75))+IF(AD211&lt;=0,0,IF('Simulador 7x5'!$T$41=1,'Simulador 7x5'!$E$55,'Simulador 7x5'!$G$55))</f>
        <v>0</v>
      </c>
      <c r="AJ211" s="380">
        <f t="shared" si="84"/>
        <v>0</v>
      </c>
      <c r="AK211" s="109">
        <f t="shared" si="85"/>
        <v>0</v>
      </c>
      <c r="AM211" s="141">
        <v>16</v>
      </c>
      <c r="AN211" s="2">
        <v>0</v>
      </c>
      <c r="AO211" s="329">
        <f t="shared" si="86"/>
        <v>0</v>
      </c>
      <c r="AP211" s="329">
        <f t="shared" si="87"/>
        <v>0</v>
      </c>
      <c r="AQ211" s="20">
        <f t="shared" si="88"/>
        <v>0</v>
      </c>
      <c r="AR211" s="36"/>
      <c r="AS211">
        <f t="shared" si="89"/>
        <v>0</v>
      </c>
      <c r="AT211" s="384">
        <f t="shared" si="90"/>
      </c>
      <c r="AU211" s="385">
        <f t="shared" si="91"/>
        <v>0</v>
      </c>
      <c r="AV211" s="36">
        <v>120</v>
      </c>
    </row>
    <row r="212" spans="1:48" ht="12.75">
      <c r="A212" s="443">
        <f t="shared" si="92"/>
        <v>196</v>
      </c>
      <c r="B212" s="498">
        <f t="shared" si="69"/>
        <v>0</v>
      </c>
      <c r="C212" s="499"/>
      <c r="D212" s="498">
        <f t="shared" si="70"/>
        <v>0</v>
      </c>
      <c r="E212" s="500"/>
      <c r="F212" s="500">
        <f t="shared" si="71"/>
        <v>0</v>
      </c>
      <c r="G212" s="500"/>
      <c r="H212" s="500">
        <f t="shared" si="72"/>
        <v>0</v>
      </c>
      <c r="I212" s="501"/>
      <c r="J212" s="505">
        <f t="shared" si="73"/>
        <v>0</v>
      </c>
      <c r="K212" s="501"/>
      <c r="L212" s="502"/>
      <c r="M212" s="501"/>
      <c r="N212" s="500">
        <v>0</v>
      </c>
      <c r="O212" s="6"/>
      <c r="P212" s="457">
        <f t="shared" si="74"/>
        <v>0</v>
      </c>
      <c r="Q212" s="1"/>
      <c r="R212" s="500">
        <f t="shared" si="75"/>
        <v>0</v>
      </c>
      <c r="S212" s="500"/>
      <c r="T212" s="500">
        <f>IF(B212&lt;=0,0,B212*IF('Simulador 7x5'!$Y$81=1,0,'Simulador 7x5'!$U$75))</f>
        <v>0</v>
      </c>
      <c r="U212" s="500"/>
      <c r="V212" s="513">
        <f>IF(B212&lt;=0,0,IF('Simulador 7x5'!$T$41=1,'Simulador 7x5'!$E$55,'Simulador 7x5'!$G$55))</f>
        <v>0</v>
      </c>
      <c r="W212" s="500"/>
      <c r="X212" s="500">
        <f t="shared" si="76"/>
        <v>0</v>
      </c>
      <c r="Y212" s="7"/>
      <c r="Z212" s="12"/>
      <c r="AA212" s="17"/>
      <c r="AB212" s="2">
        <f t="shared" si="77"/>
        <v>0</v>
      </c>
      <c r="AC212" s="21">
        <f t="shared" si="78"/>
        <v>0</v>
      </c>
      <c r="AD212" s="380">
        <f t="shared" si="79"/>
        <v>0</v>
      </c>
      <c r="AE212" s="380">
        <f t="shared" si="80"/>
        <v>0</v>
      </c>
      <c r="AF212" s="381">
        <f t="shared" si="81"/>
        <v>0</v>
      </c>
      <c r="AG212" s="380">
        <f t="shared" si="82"/>
        <v>0</v>
      </c>
      <c r="AH212" s="380">
        <f t="shared" si="83"/>
        <v>0</v>
      </c>
      <c r="AI212" s="380">
        <f>IF(AD212&lt;=0,0,AD212*IF('Simulador 7x5'!$Y$81=1,0,'Simulador 7x5'!$U$75))+IF(AD212&lt;=0,0,IF('Simulador 7x5'!$T$41=1,'Simulador 7x5'!$E$55,'Simulador 7x5'!$G$55))</f>
        <v>0</v>
      </c>
      <c r="AJ212" s="380">
        <f t="shared" si="84"/>
        <v>0</v>
      </c>
      <c r="AK212" s="109">
        <f t="shared" si="85"/>
        <v>0</v>
      </c>
      <c r="AM212" s="141">
        <v>16</v>
      </c>
      <c r="AN212" s="2">
        <v>0</v>
      </c>
      <c r="AO212" s="329">
        <f t="shared" si="86"/>
        <v>0</v>
      </c>
      <c r="AP212" s="329">
        <f t="shared" si="87"/>
        <v>0</v>
      </c>
      <c r="AQ212" s="20">
        <f t="shared" si="88"/>
        <v>0</v>
      </c>
      <c r="AR212" s="36"/>
      <c r="AS212">
        <f t="shared" si="89"/>
        <v>0</v>
      </c>
      <c r="AT212" s="384">
        <f t="shared" si="90"/>
      </c>
      <c r="AU212" s="385">
        <f t="shared" si="91"/>
        <v>0</v>
      </c>
      <c r="AV212" s="36">
        <v>120</v>
      </c>
    </row>
    <row r="213" spans="1:48" ht="12.75">
      <c r="A213" s="443">
        <f t="shared" si="92"/>
        <v>197</v>
      </c>
      <c r="B213" s="498">
        <f t="shared" si="69"/>
        <v>0</v>
      </c>
      <c r="C213" s="499"/>
      <c r="D213" s="498">
        <f t="shared" si="70"/>
        <v>0</v>
      </c>
      <c r="E213" s="500"/>
      <c r="F213" s="500">
        <f t="shared" si="71"/>
        <v>0</v>
      </c>
      <c r="G213" s="500"/>
      <c r="H213" s="500">
        <f t="shared" si="72"/>
        <v>0</v>
      </c>
      <c r="I213" s="501"/>
      <c r="J213" s="505">
        <f t="shared" si="73"/>
        <v>0</v>
      </c>
      <c r="K213" s="501"/>
      <c r="L213" s="502"/>
      <c r="M213" s="501"/>
      <c r="N213" s="500">
        <v>0</v>
      </c>
      <c r="O213" s="6"/>
      <c r="P213" s="457">
        <f t="shared" si="74"/>
        <v>0</v>
      </c>
      <c r="Q213" s="1"/>
      <c r="R213" s="500">
        <f t="shared" si="75"/>
        <v>0</v>
      </c>
      <c r="S213" s="500"/>
      <c r="T213" s="500">
        <f>IF(B213&lt;=0,0,B213*IF('Simulador 7x5'!$Y$81=1,0,'Simulador 7x5'!$U$75))</f>
        <v>0</v>
      </c>
      <c r="U213" s="500"/>
      <c r="V213" s="513">
        <f>IF(B213&lt;=0,0,IF('Simulador 7x5'!$T$41=1,'Simulador 7x5'!$E$55,'Simulador 7x5'!$G$55))</f>
        <v>0</v>
      </c>
      <c r="W213" s="500"/>
      <c r="X213" s="500">
        <f t="shared" si="76"/>
        <v>0</v>
      </c>
      <c r="Y213" s="7"/>
      <c r="Z213" s="12"/>
      <c r="AA213" s="17"/>
      <c r="AB213" s="2">
        <f t="shared" si="77"/>
        <v>0</v>
      </c>
      <c r="AC213" s="21">
        <f t="shared" si="78"/>
        <v>0</v>
      </c>
      <c r="AD213" s="380">
        <f t="shared" si="79"/>
        <v>0</v>
      </c>
      <c r="AE213" s="380">
        <f t="shared" si="80"/>
        <v>0</v>
      </c>
      <c r="AF213" s="381">
        <f t="shared" si="81"/>
        <v>0</v>
      </c>
      <c r="AG213" s="380">
        <f t="shared" si="82"/>
        <v>0</v>
      </c>
      <c r="AH213" s="380">
        <f t="shared" si="83"/>
        <v>0</v>
      </c>
      <c r="AI213" s="380">
        <f>IF(AD213&lt;=0,0,AD213*IF('Simulador 7x5'!$Y$81=1,0,'Simulador 7x5'!$U$75))+IF(AD213&lt;=0,0,IF('Simulador 7x5'!$T$41=1,'Simulador 7x5'!$E$55,'Simulador 7x5'!$G$55))</f>
        <v>0</v>
      </c>
      <c r="AJ213" s="380">
        <f t="shared" si="84"/>
        <v>0</v>
      </c>
      <c r="AK213" s="109">
        <f t="shared" si="85"/>
        <v>0</v>
      </c>
      <c r="AM213" s="141">
        <v>16</v>
      </c>
      <c r="AN213" s="2">
        <v>0</v>
      </c>
      <c r="AO213" s="329">
        <f t="shared" si="86"/>
        <v>0</v>
      </c>
      <c r="AP213" s="329">
        <f t="shared" si="87"/>
        <v>0</v>
      </c>
      <c r="AQ213" s="20">
        <f t="shared" si="88"/>
        <v>0</v>
      </c>
      <c r="AR213" s="36"/>
      <c r="AS213">
        <f t="shared" si="89"/>
        <v>0</v>
      </c>
      <c r="AT213" s="384">
        <f t="shared" si="90"/>
      </c>
      <c r="AU213" s="385">
        <f t="shared" si="91"/>
        <v>0</v>
      </c>
      <c r="AV213" s="36">
        <v>120</v>
      </c>
    </row>
    <row r="214" spans="1:48" ht="12.75">
      <c r="A214" s="443">
        <f t="shared" si="92"/>
        <v>198</v>
      </c>
      <c r="B214" s="498">
        <f t="shared" si="69"/>
        <v>0</v>
      </c>
      <c r="C214" s="499"/>
      <c r="D214" s="498">
        <f t="shared" si="70"/>
        <v>0</v>
      </c>
      <c r="E214" s="500"/>
      <c r="F214" s="500">
        <f t="shared" si="71"/>
        <v>0</v>
      </c>
      <c r="G214" s="500"/>
      <c r="H214" s="500">
        <f t="shared" si="72"/>
        <v>0</v>
      </c>
      <c r="I214" s="501"/>
      <c r="J214" s="505">
        <f t="shared" si="73"/>
        <v>0</v>
      </c>
      <c r="K214" s="501"/>
      <c r="L214" s="502"/>
      <c r="M214" s="501"/>
      <c r="N214" s="500">
        <v>0</v>
      </c>
      <c r="O214" s="6"/>
      <c r="P214" s="457">
        <f t="shared" si="74"/>
        <v>0</v>
      </c>
      <c r="Q214" s="1"/>
      <c r="R214" s="500">
        <f t="shared" si="75"/>
        <v>0</v>
      </c>
      <c r="S214" s="500"/>
      <c r="T214" s="500">
        <f>IF(B214&lt;=0,0,B214*IF('Simulador 7x5'!$Y$81=1,0,'Simulador 7x5'!$U$75))</f>
        <v>0</v>
      </c>
      <c r="U214" s="500"/>
      <c r="V214" s="513">
        <f>IF(B214&lt;=0,0,IF('Simulador 7x5'!$T$41=1,'Simulador 7x5'!$E$55,'Simulador 7x5'!$G$55))</f>
        <v>0</v>
      </c>
      <c r="W214" s="500"/>
      <c r="X214" s="500">
        <f t="shared" si="76"/>
        <v>0</v>
      </c>
      <c r="Y214" s="7"/>
      <c r="Z214" s="12"/>
      <c r="AA214" s="17"/>
      <c r="AB214" s="2">
        <f t="shared" si="77"/>
        <v>0</v>
      </c>
      <c r="AC214" s="21">
        <f t="shared" si="78"/>
        <v>0</v>
      </c>
      <c r="AD214" s="380">
        <f t="shared" si="79"/>
        <v>0</v>
      </c>
      <c r="AE214" s="380">
        <f t="shared" si="80"/>
        <v>0</v>
      </c>
      <c r="AF214" s="381">
        <f t="shared" si="81"/>
        <v>0</v>
      </c>
      <c r="AG214" s="380">
        <f t="shared" si="82"/>
        <v>0</v>
      </c>
      <c r="AH214" s="380">
        <f t="shared" si="83"/>
        <v>0</v>
      </c>
      <c r="AI214" s="380">
        <f>IF(AD214&lt;=0,0,AD214*IF('Simulador 7x5'!$Y$81=1,0,'Simulador 7x5'!$U$75))+IF(AD214&lt;=0,0,IF('Simulador 7x5'!$T$41=1,'Simulador 7x5'!$E$55,'Simulador 7x5'!$G$55))</f>
        <v>0</v>
      </c>
      <c r="AJ214" s="380">
        <f t="shared" si="84"/>
        <v>0</v>
      </c>
      <c r="AK214" s="109">
        <f t="shared" si="85"/>
        <v>0</v>
      </c>
      <c r="AM214" s="141">
        <v>16</v>
      </c>
      <c r="AN214" s="2">
        <v>0</v>
      </c>
      <c r="AO214" s="329">
        <f t="shared" si="86"/>
        <v>0</v>
      </c>
      <c r="AP214" s="329">
        <f t="shared" si="87"/>
        <v>0</v>
      </c>
      <c r="AQ214" s="20">
        <f t="shared" si="88"/>
        <v>0</v>
      </c>
      <c r="AR214" s="36"/>
      <c r="AS214">
        <f t="shared" si="89"/>
        <v>0</v>
      </c>
      <c r="AT214" s="384">
        <f t="shared" si="90"/>
      </c>
      <c r="AU214" s="385">
        <f t="shared" si="91"/>
        <v>0</v>
      </c>
      <c r="AV214" s="36">
        <v>120</v>
      </c>
    </row>
    <row r="215" spans="1:48" ht="12.75">
      <c r="A215" s="443">
        <f t="shared" si="92"/>
        <v>199</v>
      </c>
      <c r="B215" s="498">
        <f t="shared" si="69"/>
        <v>0</v>
      </c>
      <c r="C215" s="499"/>
      <c r="D215" s="498">
        <f t="shared" si="70"/>
        <v>0</v>
      </c>
      <c r="E215" s="500"/>
      <c r="F215" s="500">
        <f t="shared" si="71"/>
        <v>0</v>
      </c>
      <c r="G215" s="500"/>
      <c r="H215" s="500">
        <f t="shared" si="72"/>
        <v>0</v>
      </c>
      <c r="I215" s="501"/>
      <c r="J215" s="505">
        <f t="shared" si="73"/>
        <v>0</v>
      </c>
      <c r="K215" s="501"/>
      <c r="L215" s="502"/>
      <c r="M215" s="501"/>
      <c r="N215" s="500">
        <v>0</v>
      </c>
      <c r="O215" s="6"/>
      <c r="P215" s="457">
        <f t="shared" si="74"/>
        <v>0</v>
      </c>
      <c r="Q215" s="1"/>
      <c r="R215" s="500">
        <f t="shared" si="75"/>
        <v>0</v>
      </c>
      <c r="S215" s="500"/>
      <c r="T215" s="500">
        <f>IF(B215&lt;=0,0,B215*IF('Simulador 7x5'!$Y$81=1,0,'Simulador 7x5'!$U$75))</f>
        <v>0</v>
      </c>
      <c r="U215" s="500"/>
      <c r="V215" s="513">
        <f>IF(B215&lt;=0,0,IF('Simulador 7x5'!$T$41=1,'Simulador 7x5'!$E$55,'Simulador 7x5'!$G$55))</f>
        <v>0</v>
      </c>
      <c r="W215" s="500"/>
      <c r="X215" s="500">
        <f t="shared" si="76"/>
        <v>0</v>
      </c>
      <c r="Y215" s="7"/>
      <c r="Z215" s="12"/>
      <c r="AA215" s="17"/>
      <c r="AB215" s="2">
        <f t="shared" si="77"/>
        <v>0</v>
      </c>
      <c r="AC215" s="21">
        <f t="shared" si="78"/>
        <v>0</v>
      </c>
      <c r="AD215" s="380">
        <f t="shared" si="79"/>
        <v>0</v>
      </c>
      <c r="AE215" s="380">
        <f t="shared" si="80"/>
        <v>0</v>
      </c>
      <c r="AF215" s="381">
        <f t="shared" si="81"/>
        <v>0</v>
      </c>
      <c r="AG215" s="380">
        <f t="shared" si="82"/>
        <v>0</v>
      </c>
      <c r="AH215" s="380">
        <f t="shared" si="83"/>
        <v>0</v>
      </c>
      <c r="AI215" s="380">
        <f>IF(AD215&lt;=0,0,AD215*IF('Simulador 7x5'!$Y$81=1,0,'Simulador 7x5'!$U$75))+IF(AD215&lt;=0,0,IF('Simulador 7x5'!$T$41=1,'Simulador 7x5'!$E$55,'Simulador 7x5'!$G$55))</f>
        <v>0</v>
      </c>
      <c r="AJ215" s="380">
        <f t="shared" si="84"/>
        <v>0</v>
      </c>
      <c r="AK215" s="109">
        <f t="shared" si="85"/>
        <v>0</v>
      </c>
      <c r="AM215" s="141">
        <v>16</v>
      </c>
      <c r="AN215" s="2">
        <v>0</v>
      </c>
      <c r="AO215" s="329">
        <f t="shared" si="86"/>
        <v>0</v>
      </c>
      <c r="AP215" s="329">
        <f t="shared" si="87"/>
        <v>0</v>
      </c>
      <c r="AQ215" s="20">
        <f t="shared" si="88"/>
        <v>0</v>
      </c>
      <c r="AR215" s="36"/>
      <c r="AS215">
        <f t="shared" si="89"/>
        <v>0</v>
      </c>
      <c r="AT215" s="384">
        <f t="shared" si="90"/>
      </c>
      <c r="AU215" s="385">
        <f t="shared" si="91"/>
        <v>0</v>
      </c>
      <c r="AV215" s="36">
        <v>120</v>
      </c>
    </row>
    <row r="216" spans="1:48" ht="12.75">
      <c r="A216" s="443">
        <f t="shared" si="92"/>
        <v>200</v>
      </c>
      <c r="B216" s="498">
        <f t="shared" si="69"/>
        <v>0</v>
      </c>
      <c r="C216" s="499"/>
      <c r="D216" s="498">
        <f t="shared" si="70"/>
        <v>0</v>
      </c>
      <c r="E216" s="500"/>
      <c r="F216" s="500">
        <f t="shared" si="71"/>
        <v>0</v>
      </c>
      <c r="G216" s="500"/>
      <c r="H216" s="500">
        <f t="shared" si="72"/>
        <v>0</v>
      </c>
      <c r="I216" s="501"/>
      <c r="J216" s="505">
        <f t="shared" si="73"/>
        <v>0</v>
      </c>
      <c r="K216" s="501"/>
      <c r="L216" s="502"/>
      <c r="M216" s="501"/>
      <c r="N216" s="500">
        <v>0</v>
      </c>
      <c r="O216" s="6"/>
      <c r="P216" s="457">
        <f t="shared" si="74"/>
        <v>0</v>
      </c>
      <c r="Q216" s="1"/>
      <c r="R216" s="500">
        <f t="shared" si="75"/>
        <v>0</v>
      </c>
      <c r="S216" s="500"/>
      <c r="T216" s="500">
        <f>IF(B216&lt;=0,0,B216*IF('Simulador 7x5'!$Y$81=1,0,'Simulador 7x5'!$U$75))</f>
        <v>0</v>
      </c>
      <c r="U216" s="500"/>
      <c r="V216" s="513">
        <f>IF(B216&lt;=0,0,IF('Simulador 7x5'!$T$41=1,'Simulador 7x5'!$E$55,'Simulador 7x5'!$G$55))</f>
        <v>0</v>
      </c>
      <c r="W216" s="500"/>
      <c r="X216" s="500">
        <f t="shared" si="76"/>
        <v>0</v>
      </c>
      <c r="Y216" s="7"/>
      <c r="Z216" s="12"/>
      <c r="AA216" s="17"/>
      <c r="AB216" s="2">
        <f t="shared" si="77"/>
        <v>0</v>
      </c>
      <c r="AC216" s="21">
        <f t="shared" si="78"/>
        <v>0</v>
      </c>
      <c r="AD216" s="380">
        <f t="shared" si="79"/>
        <v>0</v>
      </c>
      <c r="AE216" s="380">
        <f t="shared" si="80"/>
        <v>0</v>
      </c>
      <c r="AF216" s="381">
        <f t="shared" si="81"/>
        <v>0</v>
      </c>
      <c r="AG216" s="380">
        <f t="shared" si="82"/>
        <v>0</v>
      </c>
      <c r="AH216" s="380">
        <f t="shared" si="83"/>
        <v>0</v>
      </c>
      <c r="AI216" s="380">
        <f>IF(AD216&lt;=0,0,AD216*IF('Simulador 7x5'!$Y$81=1,0,'Simulador 7x5'!$U$75))+IF(AD216&lt;=0,0,IF('Simulador 7x5'!$T$41=1,'Simulador 7x5'!$E$55,'Simulador 7x5'!$G$55))</f>
        <v>0</v>
      </c>
      <c r="AJ216" s="380">
        <f t="shared" si="84"/>
        <v>0</v>
      </c>
      <c r="AK216" s="109">
        <f t="shared" si="85"/>
        <v>0</v>
      </c>
      <c r="AM216" s="141">
        <v>16</v>
      </c>
      <c r="AN216" s="2">
        <v>0</v>
      </c>
      <c r="AO216" s="329">
        <f t="shared" si="86"/>
        <v>0</v>
      </c>
      <c r="AP216" s="329">
        <f t="shared" si="87"/>
        <v>0</v>
      </c>
      <c r="AQ216" s="20">
        <f t="shared" si="88"/>
        <v>0</v>
      </c>
      <c r="AR216" s="36"/>
      <c r="AS216">
        <f t="shared" si="89"/>
        <v>0</v>
      </c>
      <c r="AT216" s="384">
        <f t="shared" si="90"/>
      </c>
      <c r="AU216" s="385">
        <f t="shared" si="91"/>
        <v>0</v>
      </c>
      <c r="AV216" s="36">
        <v>120</v>
      </c>
    </row>
    <row r="217" spans="1:48" ht="12.75">
      <c r="A217" s="443">
        <f t="shared" si="92"/>
        <v>201</v>
      </c>
      <c r="B217" s="498">
        <f t="shared" si="69"/>
        <v>0</v>
      </c>
      <c r="C217" s="499"/>
      <c r="D217" s="498">
        <f t="shared" si="70"/>
        <v>0</v>
      </c>
      <c r="E217" s="500"/>
      <c r="F217" s="500">
        <f t="shared" si="71"/>
        <v>0</v>
      </c>
      <c r="G217" s="500"/>
      <c r="H217" s="500">
        <f t="shared" si="72"/>
        <v>0</v>
      </c>
      <c r="I217" s="501"/>
      <c r="J217" s="505">
        <f t="shared" si="73"/>
        <v>0</v>
      </c>
      <c r="K217" s="501"/>
      <c r="L217" s="502"/>
      <c r="M217" s="501"/>
      <c r="N217" s="500">
        <v>0</v>
      </c>
      <c r="O217" s="6"/>
      <c r="P217" s="457">
        <f t="shared" si="74"/>
        <v>0</v>
      </c>
      <c r="Q217" s="1"/>
      <c r="R217" s="500">
        <f t="shared" si="75"/>
        <v>0</v>
      </c>
      <c r="S217" s="500"/>
      <c r="T217" s="500">
        <f>IF(B217&lt;=0,0,B217*IF('Simulador 7x5'!$Y$81=1,0,'Simulador 7x5'!$U$75))</f>
        <v>0</v>
      </c>
      <c r="U217" s="500"/>
      <c r="V217" s="513">
        <f>IF(B217&lt;=0,0,IF('Simulador 7x5'!$T$41=1,'Simulador 7x5'!$E$55,'Simulador 7x5'!$G$55))</f>
        <v>0</v>
      </c>
      <c r="W217" s="500"/>
      <c r="X217" s="500">
        <f t="shared" si="76"/>
        <v>0</v>
      </c>
      <c r="Y217" s="7"/>
      <c r="Z217" s="12"/>
      <c r="AA217" s="17"/>
      <c r="AB217" s="2">
        <f t="shared" si="77"/>
        <v>0</v>
      </c>
      <c r="AC217" s="21">
        <f t="shared" si="78"/>
        <v>0</v>
      </c>
      <c r="AD217" s="380">
        <f t="shared" si="79"/>
        <v>0</v>
      </c>
      <c r="AE217" s="380">
        <f t="shared" si="80"/>
        <v>0</v>
      </c>
      <c r="AF217" s="381">
        <f t="shared" si="81"/>
        <v>0</v>
      </c>
      <c r="AG217" s="380">
        <f t="shared" si="82"/>
        <v>0</v>
      </c>
      <c r="AH217" s="380">
        <f t="shared" si="83"/>
        <v>0</v>
      </c>
      <c r="AI217" s="380">
        <f>IF(AD217&lt;=0,0,AD217*IF('Simulador 7x5'!$Y$81=1,0,'Simulador 7x5'!$U$75))+IF(AD217&lt;=0,0,IF('Simulador 7x5'!$T$41=1,'Simulador 7x5'!$E$55,'Simulador 7x5'!$G$55))</f>
        <v>0</v>
      </c>
      <c r="AJ217" s="380">
        <f t="shared" si="84"/>
        <v>0</v>
      </c>
      <c r="AK217" s="109">
        <f t="shared" si="85"/>
        <v>0</v>
      </c>
      <c r="AM217" s="141">
        <v>16</v>
      </c>
      <c r="AN217" s="2">
        <v>0</v>
      </c>
      <c r="AO217" s="329">
        <f t="shared" si="86"/>
        <v>0</v>
      </c>
      <c r="AP217" s="329">
        <f t="shared" si="87"/>
        <v>0</v>
      </c>
      <c r="AQ217" s="20">
        <f t="shared" si="88"/>
        <v>0</v>
      </c>
      <c r="AR217" s="36"/>
      <c r="AS217">
        <f t="shared" si="89"/>
        <v>0</v>
      </c>
      <c r="AT217" s="384">
        <f t="shared" si="90"/>
      </c>
      <c r="AU217" s="385">
        <f t="shared" si="91"/>
        <v>0</v>
      </c>
      <c r="AV217" s="36">
        <v>120</v>
      </c>
    </row>
    <row r="218" spans="1:48" ht="12.75">
      <c r="A218" s="443">
        <f t="shared" si="92"/>
        <v>202</v>
      </c>
      <c r="B218" s="498">
        <f t="shared" si="69"/>
        <v>0</v>
      </c>
      <c r="C218" s="499"/>
      <c r="D218" s="498">
        <f t="shared" si="70"/>
        <v>0</v>
      </c>
      <c r="E218" s="500"/>
      <c r="F218" s="500">
        <f t="shared" si="71"/>
        <v>0</v>
      </c>
      <c r="G218" s="500"/>
      <c r="H218" s="500">
        <f t="shared" si="72"/>
        <v>0</v>
      </c>
      <c r="I218" s="501"/>
      <c r="J218" s="505">
        <f t="shared" si="73"/>
        <v>0</v>
      </c>
      <c r="K218" s="501"/>
      <c r="L218" s="502"/>
      <c r="M218" s="501"/>
      <c r="N218" s="500">
        <v>0</v>
      </c>
      <c r="O218" s="6"/>
      <c r="P218" s="457">
        <f t="shared" si="74"/>
        <v>0</v>
      </c>
      <c r="Q218" s="1"/>
      <c r="R218" s="500">
        <f t="shared" si="75"/>
        <v>0</v>
      </c>
      <c r="S218" s="500"/>
      <c r="T218" s="500">
        <f>IF(B218&lt;=0,0,B218*IF('Simulador 7x5'!$Y$81=1,0,'Simulador 7x5'!$U$75))</f>
        <v>0</v>
      </c>
      <c r="U218" s="500"/>
      <c r="V218" s="513">
        <f>IF(B218&lt;=0,0,IF('Simulador 7x5'!$T$41=1,'Simulador 7x5'!$E$55,'Simulador 7x5'!$G$55))</f>
        <v>0</v>
      </c>
      <c r="W218" s="500"/>
      <c r="X218" s="500">
        <f t="shared" si="76"/>
        <v>0</v>
      </c>
      <c r="Y218" s="7"/>
      <c r="Z218" s="12"/>
      <c r="AA218" s="17"/>
      <c r="AB218" s="2">
        <f t="shared" si="77"/>
        <v>0</v>
      </c>
      <c r="AC218" s="21">
        <f t="shared" si="78"/>
        <v>0</v>
      </c>
      <c r="AD218" s="380">
        <f t="shared" si="79"/>
        <v>0</v>
      </c>
      <c r="AE218" s="380">
        <f t="shared" si="80"/>
        <v>0</v>
      </c>
      <c r="AF218" s="381">
        <f t="shared" si="81"/>
        <v>0</v>
      </c>
      <c r="AG218" s="380">
        <f t="shared" si="82"/>
        <v>0</v>
      </c>
      <c r="AH218" s="380">
        <f t="shared" si="83"/>
        <v>0</v>
      </c>
      <c r="AI218" s="380">
        <f>IF(AD218&lt;=0,0,AD218*IF('Simulador 7x5'!$Y$81=1,0,'Simulador 7x5'!$U$75))+IF(AD218&lt;=0,0,IF('Simulador 7x5'!$T$41=1,'Simulador 7x5'!$E$55,'Simulador 7x5'!$G$55))</f>
        <v>0</v>
      </c>
      <c r="AJ218" s="380">
        <f t="shared" si="84"/>
        <v>0</v>
      </c>
      <c r="AK218" s="109">
        <f t="shared" si="85"/>
        <v>0</v>
      </c>
      <c r="AM218" s="141">
        <v>16</v>
      </c>
      <c r="AN218" s="2">
        <v>0</v>
      </c>
      <c r="AO218" s="329">
        <f t="shared" si="86"/>
        <v>0</v>
      </c>
      <c r="AP218" s="329">
        <f t="shared" si="87"/>
        <v>0</v>
      </c>
      <c r="AQ218" s="20">
        <f t="shared" si="88"/>
        <v>0</v>
      </c>
      <c r="AR218" s="36"/>
      <c r="AS218">
        <f t="shared" si="89"/>
        <v>0</v>
      </c>
      <c r="AT218" s="384">
        <f t="shared" si="90"/>
      </c>
      <c r="AU218" s="385">
        <f t="shared" si="91"/>
        <v>0</v>
      </c>
      <c r="AV218" s="36">
        <v>120</v>
      </c>
    </row>
    <row r="219" spans="1:48" ht="12.75">
      <c r="A219" s="443">
        <f t="shared" si="92"/>
        <v>203</v>
      </c>
      <c r="B219" s="498">
        <f t="shared" si="69"/>
        <v>0</v>
      </c>
      <c r="C219" s="499"/>
      <c r="D219" s="498">
        <f t="shared" si="70"/>
        <v>0</v>
      </c>
      <c r="E219" s="500"/>
      <c r="F219" s="500">
        <f t="shared" si="71"/>
        <v>0</v>
      </c>
      <c r="G219" s="500"/>
      <c r="H219" s="500">
        <f t="shared" si="72"/>
        <v>0</v>
      </c>
      <c r="I219" s="501"/>
      <c r="J219" s="505">
        <f t="shared" si="73"/>
        <v>0</v>
      </c>
      <c r="K219" s="501"/>
      <c r="L219" s="502"/>
      <c r="M219" s="501"/>
      <c r="N219" s="500">
        <v>0</v>
      </c>
      <c r="O219" s="6"/>
      <c r="P219" s="457">
        <f t="shared" si="74"/>
        <v>0</v>
      </c>
      <c r="Q219" s="1"/>
      <c r="R219" s="500">
        <f t="shared" si="75"/>
        <v>0</v>
      </c>
      <c r="S219" s="500"/>
      <c r="T219" s="500">
        <f>IF(B219&lt;=0,0,B219*IF('Simulador 7x5'!$Y$81=1,0,'Simulador 7x5'!$U$75))</f>
        <v>0</v>
      </c>
      <c r="U219" s="500"/>
      <c r="V219" s="513">
        <f>IF(B219&lt;=0,0,IF('Simulador 7x5'!$T$41=1,'Simulador 7x5'!$E$55,'Simulador 7x5'!$G$55))</f>
        <v>0</v>
      </c>
      <c r="W219" s="500"/>
      <c r="X219" s="500">
        <f t="shared" si="76"/>
        <v>0</v>
      </c>
      <c r="Y219" s="7"/>
      <c r="Z219" s="12"/>
      <c r="AA219" s="17"/>
      <c r="AB219" s="2">
        <f t="shared" si="77"/>
        <v>0</v>
      </c>
      <c r="AC219" s="21">
        <f t="shared" si="78"/>
        <v>0</v>
      </c>
      <c r="AD219" s="380">
        <f t="shared" si="79"/>
        <v>0</v>
      </c>
      <c r="AE219" s="380">
        <f t="shared" si="80"/>
        <v>0</v>
      </c>
      <c r="AF219" s="381">
        <f t="shared" si="81"/>
        <v>0</v>
      </c>
      <c r="AG219" s="380">
        <f t="shared" si="82"/>
        <v>0</v>
      </c>
      <c r="AH219" s="380">
        <f t="shared" si="83"/>
        <v>0</v>
      </c>
      <c r="AI219" s="380">
        <f>IF(AD219&lt;=0,0,AD219*IF('Simulador 7x5'!$Y$81=1,0,'Simulador 7x5'!$U$75))+IF(AD219&lt;=0,0,IF('Simulador 7x5'!$T$41=1,'Simulador 7x5'!$E$55,'Simulador 7x5'!$G$55))</f>
        <v>0</v>
      </c>
      <c r="AJ219" s="380">
        <f t="shared" si="84"/>
        <v>0</v>
      </c>
      <c r="AK219" s="109">
        <f t="shared" si="85"/>
        <v>0</v>
      </c>
      <c r="AM219" s="141">
        <v>16</v>
      </c>
      <c r="AN219" s="2">
        <v>0</v>
      </c>
      <c r="AO219" s="329">
        <f t="shared" si="86"/>
        <v>0</v>
      </c>
      <c r="AP219" s="329">
        <f t="shared" si="87"/>
        <v>0</v>
      </c>
      <c r="AQ219" s="20">
        <f t="shared" si="88"/>
        <v>0</v>
      </c>
      <c r="AR219" s="36"/>
      <c r="AS219">
        <f t="shared" si="89"/>
        <v>0</v>
      </c>
      <c r="AT219" s="384">
        <f t="shared" si="90"/>
      </c>
      <c r="AU219" s="385">
        <f t="shared" si="91"/>
        <v>0</v>
      </c>
      <c r="AV219" s="36">
        <v>120</v>
      </c>
    </row>
    <row r="220" spans="1:48" ht="12.75">
      <c r="A220" s="443">
        <f t="shared" si="92"/>
        <v>204</v>
      </c>
      <c r="B220" s="498">
        <f t="shared" si="69"/>
        <v>0</v>
      </c>
      <c r="C220" s="499"/>
      <c r="D220" s="498">
        <f t="shared" si="70"/>
        <v>0</v>
      </c>
      <c r="E220" s="500"/>
      <c r="F220" s="500">
        <f t="shared" si="71"/>
        <v>0</v>
      </c>
      <c r="G220" s="500"/>
      <c r="H220" s="500">
        <f t="shared" si="72"/>
        <v>0</v>
      </c>
      <c r="I220" s="501"/>
      <c r="J220" s="505">
        <f t="shared" si="73"/>
        <v>0</v>
      </c>
      <c r="K220" s="501"/>
      <c r="L220" s="502"/>
      <c r="M220" s="501"/>
      <c r="N220" s="500">
        <v>0</v>
      </c>
      <c r="O220" s="6"/>
      <c r="P220" s="457">
        <f t="shared" si="74"/>
        <v>0</v>
      </c>
      <c r="Q220" s="1"/>
      <c r="R220" s="500">
        <f t="shared" si="75"/>
        <v>0</v>
      </c>
      <c r="S220" s="500"/>
      <c r="T220" s="500">
        <f>IF(B220&lt;=0,0,B220*IF('Simulador 7x5'!$Y$81=1,0,'Simulador 7x5'!$U$75))</f>
        <v>0</v>
      </c>
      <c r="U220" s="500"/>
      <c r="V220" s="513">
        <f>IF(B220&lt;=0,0,IF('Simulador 7x5'!$T$41=1,'Simulador 7x5'!$E$55,'Simulador 7x5'!$G$55))</f>
        <v>0</v>
      </c>
      <c r="W220" s="500"/>
      <c r="X220" s="500">
        <f t="shared" si="76"/>
        <v>0</v>
      </c>
      <c r="Y220" s="7"/>
      <c r="Z220" s="12"/>
      <c r="AA220" s="17"/>
      <c r="AB220" s="2">
        <f t="shared" si="77"/>
        <v>0</v>
      </c>
      <c r="AC220" s="21">
        <f t="shared" si="78"/>
        <v>0</v>
      </c>
      <c r="AD220" s="380">
        <f t="shared" si="79"/>
        <v>0</v>
      </c>
      <c r="AE220" s="380">
        <f t="shared" si="80"/>
        <v>0</v>
      </c>
      <c r="AF220" s="381">
        <f t="shared" si="81"/>
        <v>0</v>
      </c>
      <c r="AG220" s="380">
        <f t="shared" si="82"/>
        <v>0</v>
      </c>
      <c r="AH220" s="380">
        <f t="shared" si="83"/>
        <v>0</v>
      </c>
      <c r="AI220" s="380">
        <f>IF(AD220&lt;=0,0,AD220*IF('Simulador 7x5'!$Y$81=1,0,'Simulador 7x5'!$U$75))+IF(AD220&lt;=0,0,IF('Simulador 7x5'!$T$41=1,'Simulador 7x5'!$E$55,'Simulador 7x5'!$G$55))</f>
        <v>0</v>
      </c>
      <c r="AJ220" s="380">
        <f t="shared" si="84"/>
        <v>0</v>
      </c>
      <c r="AK220" s="109">
        <f t="shared" si="85"/>
        <v>0</v>
      </c>
      <c r="AM220" s="141">
        <v>17</v>
      </c>
      <c r="AN220" s="2">
        <v>0</v>
      </c>
      <c r="AO220" s="329">
        <f t="shared" si="86"/>
        <v>0</v>
      </c>
      <c r="AP220" s="329">
        <f t="shared" si="87"/>
        <v>0</v>
      </c>
      <c r="AQ220" s="20">
        <f t="shared" si="88"/>
        <v>0</v>
      </c>
      <c r="AR220" s="36"/>
      <c r="AS220">
        <f t="shared" si="89"/>
        <v>0</v>
      </c>
      <c r="AT220" s="384">
        <f t="shared" si="90"/>
      </c>
      <c r="AU220" s="385">
        <f t="shared" si="91"/>
        <v>0</v>
      </c>
      <c r="AV220" s="36">
        <v>120</v>
      </c>
    </row>
    <row r="221" spans="1:48" ht="12.75">
      <c r="A221" s="443">
        <f t="shared" si="92"/>
        <v>205</v>
      </c>
      <c r="B221" s="498">
        <f t="shared" si="69"/>
        <v>0</v>
      </c>
      <c r="C221" s="499"/>
      <c r="D221" s="498">
        <f t="shared" si="70"/>
        <v>0</v>
      </c>
      <c r="E221" s="500"/>
      <c r="F221" s="500">
        <f t="shared" si="71"/>
        <v>0</v>
      </c>
      <c r="G221" s="500"/>
      <c r="H221" s="500">
        <f t="shared" si="72"/>
        <v>0</v>
      </c>
      <c r="I221" s="501"/>
      <c r="J221" s="505">
        <f t="shared" si="73"/>
        <v>0</v>
      </c>
      <c r="K221" s="501"/>
      <c r="L221" s="502"/>
      <c r="M221" s="501"/>
      <c r="N221" s="500">
        <v>0</v>
      </c>
      <c r="O221" s="6"/>
      <c r="P221" s="457">
        <f t="shared" si="74"/>
        <v>0</v>
      </c>
      <c r="Q221" s="1"/>
      <c r="R221" s="500">
        <f t="shared" si="75"/>
        <v>0</v>
      </c>
      <c r="S221" s="500"/>
      <c r="T221" s="500">
        <f>IF(B221&lt;=0,0,B221*IF('Simulador 7x5'!$Y$81=1,0,'Simulador 7x5'!$U$75))</f>
        <v>0</v>
      </c>
      <c r="U221" s="500"/>
      <c r="V221" s="513">
        <f>IF(B221&lt;=0,0,IF('Simulador 7x5'!$T$41=1,'Simulador 7x5'!$E$55,'Simulador 7x5'!$G$55))</f>
        <v>0</v>
      </c>
      <c r="W221" s="500"/>
      <c r="X221" s="500">
        <f t="shared" si="76"/>
        <v>0</v>
      </c>
      <c r="Y221" s="7"/>
      <c r="Z221" s="12"/>
      <c r="AA221" s="17"/>
      <c r="AB221" s="2">
        <f t="shared" si="77"/>
        <v>0</v>
      </c>
      <c r="AC221" s="21">
        <f t="shared" si="78"/>
        <v>0</v>
      </c>
      <c r="AD221" s="380">
        <f t="shared" si="79"/>
        <v>0</v>
      </c>
      <c r="AE221" s="380">
        <f t="shared" si="80"/>
        <v>0</v>
      </c>
      <c r="AF221" s="381">
        <f t="shared" si="81"/>
        <v>0</v>
      </c>
      <c r="AG221" s="380">
        <f t="shared" si="82"/>
        <v>0</v>
      </c>
      <c r="AH221" s="380">
        <f t="shared" si="83"/>
        <v>0</v>
      </c>
      <c r="AI221" s="380">
        <f>IF(AD221&lt;=0,0,AD221*IF('Simulador 7x5'!$Y$81=1,0,'Simulador 7x5'!$U$75))+IF(AD221&lt;=0,0,IF('Simulador 7x5'!$T$41=1,'Simulador 7x5'!$E$55,'Simulador 7x5'!$G$55))</f>
        <v>0</v>
      </c>
      <c r="AJ221" s="380">
        <f t="shared" si="84"/>
        <v>0</v>
      </c>
      <c r="AK221" s="109">
        <f t="shared" si="85"/>
        <v>0</v>
      </c>
      <c r="AM221" s="141">
        <v>17</v>
      </c>
      <c r="AN221" s="2">
        <v>0</v>
      </c>
      <c r="AO221" s="329">
        <f t="shared" si="86"/>
        <v>0</v>
      </c>
      <c r="AP221" s="329">
        <f t="shared" si="87"/>
        <v>0</v>
      </c>
      <c r="AQ221" s="20">
        <f t="shared" si="88"/>
        <v>0</v>
      </c>
      <c r="AR221" s="36"/>
      <c r="AS221">
        <f t="shared" si="89"/>
        <v>0</v>
      </c>
      <c r="AT221" s="384">
        <f t="shared" si="90"/>
      </c>
      <c r="AU221" s="385">
        <f t="shared" si="91"/>
        <v>0</v>
      </c>
      <c r="AV221" s="36">
        <v>120</v>
      </c>
    </row>
    <row r="222" spans="1:48" ht="12.75">
      <c r="A222" s="443">
        <f t="shared" si="92"/>
        <v>206</v>
      </c>
      <c r="B222" s="498">
        <f t="shared" si="69"/>
        <v>0</v>
      </c>
      <c r="C222" s="499"/>
      <c r="D222" s="498">
        <f t="shared" si="70"/>
        <v>0</v>
      </c>
      <c r="E222" s="500"/>
      <c r="F222" s="500">
        <f t="shared" si="71"/>
        <v>0</v>
      </c>
      <c r="G222" s="500"/>
      <c r="H222" s="500">
        <f t="shared" si="72"/>
        <v>0</v>
      </c>
      <c r="I222" s="501"/>
      <c r="J222" s="505">
        <f t="shared" si="73"/>
        <v>0</v>
      </c>
      <c r="K222" s="501"/>
      <c r="L222" s="502"/>
      <c r="M222" s="501"/>
      <c r="N222" s="500">
        <v>0</v>
      </c>
      <c r="O222" s="6"/>
      <c r="P222" s="457">
        <f t="shared" si="74"/>
        <v>0</v>
      </c>
      <c r="Q222" s="1"/>
      <c r="R222" s="500">
        <f t="shared" si="75"/>
        <v>0</v>
      </c>
      <c r="S222" s="500"/>
      <c r="T222" s="500">
        <f>IF(B222&lt;=0,0,B222*IF('Simulador 7x5'!$Y$81=1,0,'Simulador 7x5'!$U$75))</f>
        <v>0</v>
      </c>
      <c r="U222" s="500"/>
      <c r="V222" s="513">
        <f>IF(B222&lt;=0,0,IF('Simulador 7x5'!$T$41=1,'Simulador 7x5'!$E$55,'Simulador 7x5'!$G$55))</f>
        <v>0</v>
      </c>
      <c r="W222" s="500"/>
      <c r="X222" s="500">
        <f t="shared" si="76"/>
        <v>0</v>
      </c>
      <c r="Y222" s="7"/>
      <c r="Z222" s="12"/>
      <c r="AA222" s="17"/>
      <c r="AB222" s="2">
        <f t="shared" si="77"/>
        <v>0</v>
      </c>
      <c r="AC222" s="21">
        <f t="shared" si="78"/>
        <v>0</v>
      </c>
      <c r="AD222" s="380">
        <f t="shared" si="79"/>
        <v>0</v>
      </c>
      <c r="AE222" s="380">
        <f t="shared" si="80"/>
        <v>0</v>
      </c>
      <c r="AF222" s="381">
        <f t="shared" si="81"/>
        <v>0</v>
      </c>
      <c r="AG222" s="380">
        <f t="shared" si="82"/>
        <v>0</v>
      </c>
      <c r="AH222" s="380">
        <f t="shared" si="83"/>
        <v>0</v>
      </c>
      <c r="AI222" s="380">
        <f>IF(AD222&lt;=0,0,AD222*IF('Simulador 7x5'!$Y$81=1,0,'Simulador 7x5'!$U$75))+IF(AD222&lt;=0,0,IF('Simulador 7x5'!$T$41=1,'Simulador 7x5'!$E$55,'Simulador 7x5'!$G$55))</f>
        <v>0</v>
      </c>
      <c r="AJ222" s="380">
        <f t="shared" si="84"/>
        <v>0</v>
      </c>
      <c r="AK222" s="109">
        <f t="shared" si="85"/>
        <v>0</v>
      </c>
      <c r="AM222" s="141">
        <v>17</v>
      </c>
      <c r="AN222" s="2">
        <v>0</v>
      </c>
      <c r="AO222" s="329">
        <f t="shared" si="86"/>
        <v>0</v>
      </c>
      <c r="AP222" s="329">
        <f t="shared" si="87"/>
        <v>0</v>
      </c>
      <c r="AQ222" s="20">
        <f t="shared" si="88"/>
        <v>0</v>
      </c>
      <c r="AR222" s="36"/>
      <c r="AS222">
        <f t="shared" si="89"/>
        <v>0</v>
      </c>
      <c r="AT222" s="384">
        <f t="shared" si="90"/>
      </c>
      <c r="AU222" s="385">
        <f t="shared" si="91"/>
        <v>0</v>
      </c>
      <c r="AV222" s="36">
        <v>120</v>
      </c>
    </row>
    <row r="223" spans="1:48" ht="12.75">
      <c r="A223" s="443">
        <f t="shared" si="92"/>
        <v>207</v>
      </c>
      <c r="B223" s="498">
        <f t="shared" si="69"/>
        <v>0</v>
      </c>
      <c r="C223" s="499"/>
      <c r="D223" s="498">
        <f t="shared" si="70"/>
        <v>0</v>
      </c>
      <c r="E223" s="500"/>
      <c r="F223" s="500">
        <f t="shared" si="71"/>
        <v>0</v>
      </c>
      <c r="G223" s="500"/>
      <c r="H223" s="500">
        <f t="shared" si="72"/>
        <v>0</v>
      </c>
      <c r="I223" s="501"/>
      <c r="J223" s="505">
        <f t="shared" si="73"/>
        <v>0</v>
      </c>
      <c r="K223" s="501"/>
      <c r="L223" s="502"/>
      <c r="M223" s="501"/>
      <c r="N223" s="500">
        <v>0</v>
      </c>
      <c r="O223" s="6"/>
      <c r="P223" s="457">
        <f t="shared" si="74"/>
        <v>0</v>
      </c>
      <c r="Q223" s="1"/>
      <c r="R223" s="500">
        <f t="shared" si="75"/>
        <v>0</v>
      </c>
      <c r="S223" s="500"/>
      <c r="T223" s="500">
        <f>IF(B223&lt;=0,0,B223*IF('Simulador 7x5'!$Y$81=1,0,'Simulador 7x5'!$U$75))</f>
        <v>0</v>
      </c>
      <c r="U223" s="500"/>
      <c r="V223" s="513">
        <f>IF(B223&lt;=0,0,IF('Simulador 7x5'!$T$41=1,'Simulador 7x5'!$E$55,'Simulador 7x5'!$G$55))</f>
        <v>0</v>
      </c>
      <c r="W223" s="500"/>
      <c r="X223" s="500">
        <f t="shared" si="76"/>
        <v>0</v>
      </c>
      <c r="Y223" s="7"/>
      <c r="Z223" s="12"/>
      <c r="AA223" s="17"/>
      <c r="AB223" s="2">
        <f t="shared" si="77"/>
        <v>0</v>
      </c>
      <c r="AC223" s="21">
        <f t="shared" si="78"/>
        <v>0</v>
      </c>
      <c r="AD223" s="380">
        <f t="shared" si="79"/>
        <v>0</v>
      </c>
      <c r="AE223" s="380">
        <f t="shared" si="80"/>
        <v>0</v>
      </c>
      <c r="AF223" s="381">
        <f t="shared" si="81"/>
        <v>0</v>
      </c>
      <c r="AG223" s="380">
        <f t="shared" si="82"/>
        <v>0</v>
      </c>
      <c r="AH223" s="380">
        <f t="shared" si="83"/>
        <v>0</v>
      </c>
      <c r="AI223" s="380">
        <f>IF(AD223&lt;=0,0,AD223*IF('Simulador 7x5'!$Y$81=1,0,'Simulador 7x5'!$U$75))+IF(AD223&lt;=0,0,IF('Simulador 7x5'!$T$41=1,'Simulador 7x5'!$E$55,'Simulador 7x5'!$G$55))</f>
        <v>0</v>
      </c>
      <c r="AJ223" s="380">
        <f t="shared" si="84"/>
        <v>0</v>
      </c>
      <c r="AK223" s="109">
        <f t="shared" si="85"/>
        <v>0</v>
      </c>
      <c r="AM223" s="141">
        <v>17</v>
      </c>
      <c r="AN223" s="2">
        <v>0</v>
      </c>
      <c r="AO223" s="329">
        <f t="shared" si="86"/>
        <v>0</v>
      </c>
      <c r="AP223" s="329">
        <f t="shared" si="87"/>
        <v>0</v>
      </c>
      <c r="AQ223" s="20">
        <f t="shared" si="88"/>
        <v>0</v>
      </c>
      <c r="AR223" s="36"/>
      <c r="AS223">
        <f t="shared" si="89"/>
        <v>0</v>
      </c>
      <c r="AT223" s="384">
        <f t="shared" si="90"/>
      </c>
      <c r="AU223" s="385">
        <f t="shared" si="91"/>
        <v>0</v>
      </c>
      <c r="AV223" s="36">
        <v>120</v>
      </c>
    </row>
    <row r="224" spans="1:48" ht="12.75">
      <c r="A224" s="443">
        <f t="shared" si="92"/>
        <v>208</v>
      </c>
      <c r="B224" s="498">
        <f t="shared" si="69"/>
        <v>0</v>
      </c>
      <c r="C224" s="499"/>
      <c r="D224" s="498">
        <f t="shared" si="70"/>
        <v>0</v>
      </c>
      <c r="E224" s="500"/>
      <c r="F224" s="500">
        <f t="shared" si="71"/>
        <v>0</v>
      </c>
      <c r="G224" s="500"/>
      <c r="H224" s="500">
        <f t="shared" si="72"/>
        <v>0</v>
      </c>
      <c r="I224" s="501"/>
      <c r="J224" s="505">
        <f t="shared" si="73"/>
        <v>0</v>
      </c>
      <c r="K224" s="501"/>
      <c r="L224" s="502"/>
      <c r="M224" s="501"/>
      <c r="N224" s="500">
        <v>0</v>
      </c>
      <c r="O224" s="6"/>
      <c r="P224" s="457">
        <f t="shared" si="74"/>
        <v>0</v>
      </c>
      <c r="Q224" s="1"/>
      <c r="R224" s="500">
        <f t="shared" si="75"/>
        <v>0</v>
      </c>
      <c r="S224" s="500"/>
      <c r="T224" s="500">
        <f>IF(B224&lt;=0,0,B224*IF('Simulador 7x5'!$Y$81=1,0,'Simulador 7x5'!$U$75))</f>
        <v>0</v>
      </c>
      <c r="U224" s="500"/>
      <c r="V224" s="513">
        <f>IF(B224&lt;=0,0,IF('Simulador 7x5'!$T$41=1,'Simulador 7x5'!$E$55,'Simulador 7x5'!$G$55))</f>
        <v>0</v>
      </c>
      <c r="W224" s="500"/>
      <c r="X224" s="500">
        <f t="shared" si="76"/>
        <v>0</v>
      </c>
      <c r="Y224" s="7"/>
      <c r="Z224" s="12"/>
      <c r="AA224" s="17"/>
      <c r="AB224" s="2">
        <f t="shared" si="77"/>
        <v>0</v>
      </c>
      <c r="AC224" s="21">
        <f t="shared" si="78"/>
        <v>0</v>
      </c>
      <c r="AD224" s="380">
        <f t="shared" si="79"/>
        <v>0</v>
      </c>
      <c r="AE224" s="380">
        <f t="shared" si="80"/>
        <v>0</v>
      </c>
      <c r="AF224" s="381">
        <f t="shared" si="81"/>
        <v>0</v>
      </c>
      <c r="AG224" s="380">
        <f t="shared" si="82"/>
        <v>0</v>
      </c>
      <c r="AH224" s="380">
        <f t="shared" si="83"/>
        <v>0</v>
      </c>
      <c r="AI224" s="380">
        <f>IF(AD224&lt;=0,0,AD224*IF('Simulador 7x5'!$Y$81=1,0,'Simulador 7x5'!$U$75))+IF(AD224&lt;=0,0,IF('Simulador 7x5'!$T$41=1,'Simulador 7x5'!$E$55,'Simulador 7x5'!$G$55))</f>
        <v>0</v>
      </c>
      <c r="AJ224" s="380">
        <f t="shared" si="84"/>
        <v>0</v>
      </c>
      <c r="AK224" s="109">
        <f t="shared" si="85"/>
        <v>0</v>
      </c>
      <c r="AM224" s="141">
        <v>17</v>
      </c>
      <c r="AN224" s="2">
        <v>0</v>
      </c>
      <c r="AO224" s="329">
        <f t="shared" si="86"/>
        <v>0</v>
      </c>
      <c r="AP224" s="329">
        <f t="shared" si="87"/>
        <v>0</v>
      </c>
      <c r="AQ224" s="20">
        <f t="shared" si="88"/>
        <v>0</v>
      </c>
      <c r="AR224" s="36"/>
      <c r="AS224">
        <f t="shared" si="89"/>
        <v>0</v>
      </c>
      <c r="AT224" s="384">
        <f t="shared" si="90"/>
      </c>
      <c r="AU224" s="385">
        <f t="shared" si="91"/>
        <v>0</v>
      </c>
      <c r="AV224" s="36">
        <v>120</v>
      </c>
    </row>
    <row r="225" spans="1:48" ht="12.75">
      <c r="A225" s="443">
        <f t="shared" si="92"/>
        <v>209</v>
      </c>
      <c r="B225" s="498">
        <f t="shared" si="69"/>
        <v>0</v>
      </c>
      <c r="C225" s="499"/>
      <c r="D225" s="498">
        <f t="shared" si="70"/>
        <v>0</v>
      </c>
      <c r="E225" s="500"/>
      <c r="F225" s="500">
        <f t="shared" si="71"/>
        <v>0</v>
      </c>
      <c r="G225" s="500"/>
      <c r="H225" s="500">
        <f t="shared" si="72"/>
        <v>0</v>
      </c>
      <c r="I225" s="501"/>
      <c r="J225" s="505">
        <f t="shared" si="73"/>
        <v>0</v>
      </c>
      <c r="K225" s="501"/>
      <c r="L225" s="502"/>
      <c r="M225" s="501"/>
      <c r="N225" s="500">
        <v>0</v>
      </c>
      <c r="O225" s="6"/>
      <c r="P225" s="457">
        <f t="shared" si="74"/>
        <v>0</v>
      </c>
      <c r="Q225" s="1"/>
      <c r="R225" s="500">
        <f t="shared" si="75"/>
        <v>0</v>
      </c>
      <c r="S225" s="500"/>
      <c r="T225" s="500">
        <f>IF(B225&lt;=0,0,B225*IF('Simulador 7x5'!$Y$81=1,0,'Simulador 7x5'!$U$75))</f>
        <v>0</v>
      </c>
      <c r="U225" s="500"/>
      <c r="V225" s="513">
        <f>IF(B225&lt;=0,0,IF('Simulador 7x5'!$T$41=1,'Simulador 7x5'!$E$55,'Simulador 7x5'!$G$55))</f>
        <v>0</v>
      </c>
      <c r="W225" s="500"/>
      <c r="X225" s="500">
        <f t="shared" si="76"/>
        <v>0</v>
      </c>
      <c r="Y225" s="7"/>
      <c r="Z225" s="12"/>
      <c r="AA225" s="17"/>
      <c r="AB225" s="2">
        <f t="shared" si="77"/>
        <v>0</v>
      </c>
      <c r="AC225" s="21">
        <f t="shared" si="78"/>
        <v>0</v>
      </c>
      <c r="AD225" s="380">
        <f t="shared" si="79"/>
        <v>0</v>
      </c>
      <c r="AE225" s="380">
        <f t="shared" si="80"/>
        <v>0</v>
      </c>
      <c r="AF225" s="381">
        <f t="shared" si="81"/>
        <v>0</v>
      </c>
      <c r="AG225" s="380">
        <f t="shared" si="82"/>
        <v>0</v>
      </c>
      <c r="AH225" s="380">
        <f t="shared" si="83"/>
        <v>0</v>
      </c>
      <c r="AI225" s="380">
        <f>IF(AD225&lt;=0,0,AD225*IF('Simulador 7x5'!$Y$81=1,0,'Simulador 7x5'!$U$75))+IF(AD225&lt;=0,0,IF('Simulador 7x5'!$T$41=1,'Simulador 7x5'!$E$55,'Simulador 7x5'!$G$55))</f>
        <v>0</v>
      </c>
      <c r="AJ225" s="380">
        <f t="shared" si="84"/>
        <v>0</v>
      </c>
      <c r="AK225" s="109">
        <f t="shared" si="85"/>
        <v>0</v>
      </c>
      <c r="AM225" s="141">
        <v>17</v>
      </c>
      <c r="AN225" s="2">
        <v>0</v>
      </c>
      <c r="AO225" s="329">
        <f t="shared" si="86"/>
        <v>0</v>
      </c>
      <c r="AP225" s="329">
        <f t="shared" si="87"/>
        <v>0</v>
      </c>
      <c r="AQ225" s="20">
        <f t="shared" si="88"/>
        <v>0</v>
      </c>
      <c r="AR225" s="36"/>
      <c r="AS225">
        <f t="shared" si="89"/>
        <v>0</v>
      </c>
      <c r="AT225" s="384">
        <f t="shared" si="90"/>
      </c>
      <c r="AU225" s="385">
        <f t="shared" si="91"/>
        <v>0</v>
      </c>
      <c r="AV225" s="36">
        <v>120</v>
      </c>
    </row>
    <row r="226" spans="1:48" ht="12.75">
      <c r="A226" s="443">
        <f t="shared" si="92"/>
        <v>210</v>
      </c>
      <c r="B226" s="498">
        <f t="shared" si="69"/>
        <v>0</v>
      </c>
      <c r="C226" s="499"/>
      <c r="D226" s="498">
        <f t="shared" si="70"/>
        <v>0</v>
      </c>
      <c r="E226" s="500"/>
      <c r="F226" s="500">
        <f t="shared" si="71"/>
        <v>0</v>
      </c>
      <c r="G226" s="500"/>
      <c r="H226" s="500">
        <f t="shared" si="72"/>
        <v>0</v>
      </c>
      <c r="I226" s="501"/>
      <c r="J226" s="505">
        <f t="shared" si="73"/>
        <v>0</v>
      </c>
      <c r="K226" s="501"/>
      <c r="L226" s="502"/>
      <c r="M226" s="501"/>
      <c r="N226" s="500">
        <v>0</v>
      </c>
      <c r="O226" s="6"/>
      <c r="P226" s="457">
        <f t="shared" si="74"/>
        <v>0</v>
      </c>
      <c r="Q226" s="1"/>
      <c r="R226" s="500">
        <f t="shared" si="75"/>
        <v>0</v>
      </c>
      <c r="S226" s="500"/>
      <c r="T226" s="500">
        <f>IF(B226&lt;=0,0,B226*IF('Simulador 7x5'!$Y$81=1,0,'Simulador 7x5'!$U$75))</f>
        <v>0</v>
      </c>
      <c r="U226" s="500"/>
      <c r="V226" s="513">
        <f>IF(B226&lt;=0,0,IF('Simulador 7x5'!$T$41=1,'Simulador 7x5'!$E$55,'Simulador 7x5'!$G$55))</f>
        <v>0</v>
      </c>
      <c r="W226" s="500"/>
      <c r="X226" s="500">
        <f t="shared" si="76"/>
        <v>0</v>
      </c>
      <c r="Y226" s="7"/>
      <c r="Z226" s="12"/>
      <c r="AA226" s="17"/>
      <c r="AB226" s="2">
        <f t="shared" si="77"/>
        <v>0</v>
      </c>
      <c r="AC226" s="21">
        <f t="shared" si="78"/>
        <v>0</v>
      </c>
      <c r="AD226" s="380">
        <f t="shared" si="79"/>
        <v>0</v>
      </c>
      <c r="AE226" s="380">
        <f t="shared" si="80"/>
        <v>0</v>
      </c>
      <c r="AF226" s="381">
        <f t="shared" si="81"/>
        <v>0</v>
      </c>
      <c r="AG226" s="380">
        <f t="shared" si="82"/>
        <v>0</v>
      </c>
      <c r="AH226" s="380">
        <f t="shared" si="83"/>
        <v>0</v>
      </c>
      <c r="AI226" s="380">
        <f>IF(AD226&lt;=0,0,AD226*IF('Simulador 7x5'!$Y$81=1,0,'Simulador 7x5'!$U$75))+IF(AD226&lt;=0,0,IF('Simulador 7x5'!$T$41=1,'Simulador 7x5'!$E$55,'Simulador 7x5'!$G$55))</f>
        <v>0</v>
      </c>
      <c r="AJ226" s="380">
        <f t="shared" si="84"/>
        <v>0</v>
      </c>
      <c r="AK226" s="109">
        <f t="shared" si="85"/>
        <v>0</v>
      </c>
      <c r="AM226" s="141">
        <v>17</v>
      </c>
      <c r="AN226" s="2">
        <v>0</v>
      </c>
      <c r="AO226" s="329">
        <f t="shared" si="86"/>
        <v>0</v>
      </c>
      <c r="AP226" s="329">
        <f t="shared" si="87"/>
        <v>0</v>
      </c>
      <c r="AQ226" s="20">
        <f t="shared" si="88"/>
        <v>0</v>
      </c>
      <c r="AR226" s="36"/>
      <c r="AS226">
        <f t="shared" si="89"/>
        <v>0</v>
      </c>
      <c r="AT226" s="384">
        <f t="shared" si="90"/>
      </c>
      <c r="AU226" s="385">
        <f t="shared" si="91"/>
        <v>0</v>
      </c>
      <c r="AV226" s="36">
        <v>120</v>
      </c>
    </row>
    <row r="227" spans="1:48" ht="12.75">
      <c r="A227" s="443">
        <f t="shared" si="92"/>
        <v>211</v>
      </c>
      <c r="B227" s="498">
        <f t="shared" si="69"/>
        <v>0</v>
      </c>
      <c r="C227" s="499"/>
      <c r="D227" s="498">
        <f t="shared" si="70"/>
        <v>0</v>
      </c>
      <c r="E227" s="500"/>
      <c r="F227" s="500">
        <f t="shared" si="71"/>
        <v>0</v>
      </c>
      <c r="G227" s="500"/>
      <c r="H227" s="500">
        <f t="shared" si="72"/>
        <v>0</v>
      </c>
      <c r="I227" s="501"/>
      <c r="J227" s="505">
        <f t="shared" si="73"/>
        <v>0</v>
      </c>
      <c r="K227" s="501"/>
      <c r="L227" s="502"/>
      <c r="M227" s="501"/>
      <c r="N227" s="500">
        <v>0</v>
      </c>
      <c r="O227" s="6"/>
      <c r="P227" s="457">
        <f t="shared" si="74"/>
        <v>0</v>
      </c>
      <c r="Q227" s="1"/>
      <c r="R227" s="500">
        <f t="shared" si="75"/>
        <v>0</v>
      </c>
      <c r="S227" s="500"/>
      <c r="T227" s="500">
        <f>IF(B227&lt;=0,0,B227*IF('Simulador 7x5'!$Y$81=1,0,'Simulador 7x5'!$U$75))</f>
        <v>0</v>
      </c>
      <c r="U227" s="500"/>
      <c r="V227" s="513">
        <f>IF(B227&lt;=0,0,IF('Simulador 7x5'!$T$41=1,'Simulador 7x5'!$E$55,'Simulador 7x5'!$G$55))</f>
        <v>0</v>
      </c>
      <c r="W227" s="500"/>
      <c r="X227" s="500">
        <f t="shared" si="76"/>
        <v>0</v>
      </c>
      <c r="Y227" s="7"/>
      <c r="Z227" s="12"/>
      <c r="AA227" s="17"/>
      <c r="AB227" s="2">
        <f t="shared" si="77"/>
        <v>0</v>
      </c>
      <c r="AC227" s="21">
        <f t="shared" si="78"/>
        <v>0</v>
      </c>
      <c r="AD227" s="380">
        <f t="shared" si="79"/>
        <v>0</v>
      </c>
      <c r="AE227" s="380">
        <f t="shared" si="80"/>
        <v>0</v>
      </c>
      <c r="AF227" s="381">
        <f t="shared" si="81"/>
        <v>0</v>
      </c>
      <c r="AG227" s="380">
        <f t="shared" si="82"/>
        <v>0</v>
      </c>
      <c r="AH227" s="380">
        <f t="shared" si="83"/>
        <v>0</v>
      </c>
      <c r="AI227" s="380">
        <f>IF(AD227&lt;=0,0,AD227*IF('Simulador 7x5'!$Y$81=1,0,'Simulador 7x5'!$U$75))+IF(AD227&lt;=0,0,IF('Simulador 7x5'!$T$41=1,'Simulador 7x5'!$E$55,'Simulador 7x5'!$G$55))</f>
        <v>0</v>
      </c>
      <c r="AJ227" s="380">
        <f t="shared" si="84"/>
        <v>0</v>
      </c>
      <c r="AK227" s="109">
        <f t="shared" si="85"/>
        <v>0</v>
      </c>
      <c r="AM227" s="141">
        <v>17</v>
      </c>
      <c r="AN227" s="2">
        <v>0</v>
      </c>
      <c r="AO227" s="329">
        <f t="shared" si="86"/>
        <v>0</v>
      </c>
      <c r="AP227" s="329">
        <f t="shared" si="87"/>
        <v>0</v>
      </c>
      <c r="AQ227" s="20">
        <f t="shared" si="88"/>
        <v>0</v>
      </c>
      <c r="AR227" s="36"/>
      <c r="AS227">
        <f t="shared" si="89"/>
        <v>0</v>
      </c>
      <c r="AT227" s="384">
        <f t="shared" si="90"/>
      </c>
      <c r="AU227" s="385">
        <f t="shared" si="91"/>
        <v>0</v>
      </c>
      <c r="AV227" s="36">
        <v>120</v>
      </c>
    </row>
    <row r="228" spans="1:48" ht="12.75">
      <c r="A228" s="443">
        <f t="shared" si="92"/>
        <v>212</v>
      </c>
      <c r="B228" s="498">
        <f t="shared" si="69"/>
        <v>0</v>
      </c>
      <c r="C228" s="499"/>
      <c r="D228" s="498">
        <f t="shared" si="70"/>
        <v>0</v>
      </c>
      <c r="E228" s="500"/>
      <c r="F228" s="500">
        <f t="shared" si="71"/>
        <v>0</v>
      </c>
      <c r="G228" s="500"/>
      <c r="H228" s="500">
        <f t="shared" si="72"/>
        <v>0</v>
      </c>
      <c r="I228" s="501"/>
      <c r="J228" s="505">
        <f t="shared" si="73"/>
        <v>0</v>
      </c>
      <c r="K228" s="501"/>
      <c r="L228" s="502"/>
      <c r="M228" s="501"/>
      <c r="N228" s="500">
        <v>0</v>
      </c>
      <c r="O228" s="6"/>
      <c r="P228" s="457">
        <f t="shared" si="74"/>
        <v>0</v>
      </c>
      <c r="Q228" s="1"/>
      <c r="R228" s="500">
        <f t="shared" si="75"/>
        <v>0</v>
      </c>
      <c r="S228" s="500"/>
      <c r="T228" s="500">
        <f>IF(B228&lt;=0,0,B228*IF('Simulador 7x5'!$Y$81=1,0,'Simulador 7x5'!$U$75))</f>
        <v>0</v>
      </c>
      <c r="U228" s="500"/>
      <c r="V228" s="513">
        <f>IF(B228&lt;=0,0,IF('Simulador 7x5'!$T$41=1,'Simulador 7x5'!$E$55,'Simulador 7x5'!$G$55))</f>
        <v>0</v>
      </c>
      <c r="W228" s="500"/>
      <c r="X228" s="500">
        <f t="shared" si="76"/>
        <v>0</v>
      </c>
      <c r="Y228" s="7"/>
      <c r="Z228" s="12"/>
      <c r="AA228" s="17"/>
      <c r="AB228" s="2">
        <f t="shared" si="77"/>
        <v>0</v>
      </c>
      <c r="AC228" s="21">
        <f t="shared" si="78"/>
        <v>0</v>
      </c>
      <c r="AD228" s="380">
        <f t="shared" si="79"/>
        <v>0</v>
      </c>
      <c r="AE228" s="380">
        <f t="shared" si="80"/>
        <v>0</v>
      </c>
      <c r="AF228" s="381">
        <f t="shared" si="81"/>
        <v>0</v>
      </c>
      <c r="AG228" s="380">
        <f t="shared" si="82"/>
        <v>0</v>
      </c>
      <c r="AH228" s="380">
        <f t="shared" si="83"/>
        <v>0</v>
      </c>
      <c r="AI228" s="380">
        <f>IF(AD228&lt;=0,0,AD228*IF('Simulador 7x5'!$Y$81=1,0,'Simulador 7x5'!$U$75))+IF(AD228&lt;=0,0,IF('Simulador 7x5'!$T$41=1,'Simulador 7x5'!$E$55,'Simulador 7x5'!$G$55))</f>
        <v>0</v>
      </c>
      <c r="AJ228" s="380">
        <f t="shared" si="84"/>
        <v>0</v>
      </c>
      <c r="AK228" s="109">
        <f t="shared" si="85"/>
        <v>0</v>
      </c>
      <c r="AM228" s="141">
        <v>17</v>
      </c>
      <c r="AN228" s="2">
        <v>0</v>
      </c>
      <c r="AO228" s="329">
        <f t="shared" si="86"/>
        <v>0</v>
      </c>
      <c r="AP228" s="329">
        <f t="shared" si="87"/>
        <v>0</v>
      </c>
      <c r="AQ228" s="20">
        <f t="shared" si="88"/>
        <v>0</v>
      </c>
      <c r="AR228" s="36"/>
      <c r="AS228">
        <f t="shared" si="89"/>
        <v>0</v>
      </c>
      <c r="AT228" s="384">
        <f t="shared" si="90"/>
      </c>
      <c r="AU228" s="385">
        <f t="shared" si="91"/>
        <v>0</v>
      </c>
      <c r="AV228" s="36">
        <v>120</v>
      </c>
    </row>
    <row r="229" spans="1:48" ht="12.75">
      <c r="A229" s="443">
        <f t="shared" si="92"/>
        <v>213</v>
      </c>
      <c r="B229" s="498">
        <f t="shared" si="69"/>
        <v>0</v>
      </c>
      <c r="C229" s="499"/>
      <c r="D229" s="498">
        <f t="shared" si="70"/>
        <v>0</v>
      </c>
      <c r="E229" s="500"/>
      <c r="F229" s="500">
        <f t="shared" si="71"/>
        <v>0</v>
      </c>
      <c r="G229" s="500"/>
      <c r="H229" s="500">
        <f t="shared" si="72"/>
        <v>0</v>
      </c>
      <c r="I229" s="501"/>
      <c r="J229" s="505">
        <f t="shared" si="73"/>
        <v>0</v>
      </c>
      <c r="K229" s="501"/>
      <c r="L229" s="502"/>
      <c r="M229" s="501"/>
      <c r="N229" s="500">
        <v>0</v>
      </c>
      <c r="O229" s="6"/>
      <c r="P229" s="457">
        <f t="shared" si="74"/>
        <v>0</v>
      </c>
      <c r="Q229" s="1"/>
      <c r="R229" s="500">
        <f t="shared" si="75"/>
        <v>0</v>
      </c>
      <c r="S229" s="500"/>
      <c r="T229" s="500">
        <f>IF(B229&lt;=0,0,B229*IF('Simulador 7x5'!$Y$81=1,0,'Simulador 7x5'!$U$75))</f>
        <v>0</v>
      </c>
      <c r="U229" s="500"/>
      <c r="V229" s="513">
        <f>IF(B229&lt;=0,0,IF('Simulador 7x5'!$T$41=1,'Simulador 7x5'!$E$55,'Simulador 7x5'!$G$55))</f>
        <v>0</v>
      </c>
      <c r="W229" s="500"/>
      <c r="X229" s="500">
        <f t="shared" si="76"/>
        <v>0</v>
      </c>
      <c r="Y229" s="7"/>
      <c r="Z229" s="12"/>
      <c r="AA229" s="17"/>
      <c r="AB229" s="2">
        <f t="shared" si="77"/>
        <v>0</v>
      </c>
      <c r="AC229" s="21">
        <f t="shared" si="78"/>
        <v>0</v>
      </c>
      <c r="AD229" s="380">
        <f t="shared" si="79"/>
        <v>0</v>
      </c>
      <c r="AE229" s="380">
        <f t="shared" si="80"/>
        <v>0</v>
      </c>
      <c r="AF229" s="381">
        <f t="shared" si="81"/>
        <v>0</v>
      </c>
      <c r="AG229" s="380">
        <f t="shared" si="82"/>
        <v>0</v>
      </c>
      <c r="AH229" s="380">
        <f t="shared" si="83"/>
        <v>0</v>
      </c>
      <c r="AI229" s="380">
        <f>IF(AD229&lt;=0,0,AD229*IF('Simulador 7x5'!$Y$81=1,0,'Simulador 7x5'!$U$75))+IF(AD229&lt;=0,0,IF('Simulador 7x5'!$T$41=1,'Simulador 7x5'!$E$55,'Simulador 7x5'!$G$55))</f>
        <v>0</v>
      </c>
      <c r="AJ229" s="380">
        <f t="shared" si="84"/>
        <v>0</v>
      </c>
      <c r="AK229" s="109">
        <f t="shared" si="85"/>
        <v>0</v>
      </c>
      <c r="AM229" s="141">
        <v>17</v>
      </c>
      <c r="AN229" s="2">
        <v>0</v>
      </c>
      <c r="AO229" s="329">
        <f t="shared" si="86"/>
        <v>0</v>
      </c>
      <c r="AP229" s="329">
        <f t="shared" si="87"/>
        <v>0</v>
      </c>
      <c r="AQ229" s="20">
        <f t="shared" si="88"/>
        <v>0</v>
      </c>
      <c r="AR229" s="36"/>
      <c r="AS229">
        <f t="shared" si="89"/>
        <v>0</v>
      </c>
      <c r="AT229" s="384">
        <f t="shared" si="90"/>
      </c>
      <c r="AU229" s="385">
        <f t="shared" si="91"/>
        <v>0</v>
      </c>
      <c r="AV229" s="36">
        <v>120</v>
      </c>
    </row>
    <row r="230" spans="1:48" ht="12.75">
      <c r="A230" s="443">
        <f t="shared" si="92"/>
        <v>214</v>
      </c>
      <c r="B230" s="498">
        <f t="shared" si="69"/>
        <v>0</v>
      </c>
      <c r="C230" s="499"/>
      <c r="D230" s="498">
        <f t="shared" si="70"/>
        <v>0</v>
      </c>
      <c r="E230" s="500"/>
      <c r="F230" s="500">
        <f t="shared" si="71"/>
        <v>0</v>
      </c>
      <c r="G230" s="500"/>
      <c r="H230" s="500">
        <f t="shared" si="72"/>
        <v>0</v>
      </c>
      <c r="I230" s="501"/>
      <c r="J230" s="505">
        <f t="shared" si="73"/>
        <v>0</v>
      </c>
      <c r="K230" s="501"/>
      <c r="L230" s="502"/>
      <c r="M230" s="501"/>
      <c r="N230" s="500">
        <v>0</v>
      </c>
      <c r="O230" s="6"/>
      <c r="P230" s="457">
        <f t="shared" si="74"/>
        <v>0</v>
      </c>
      <c r="Q230" s="1"/>
      <c r="R230" s="500">
        <f t="shared" si="75"/>
        <v>0</v>
      </c>
      <c r="S230" s="500"/>
      <c r="T230" s="500">
        <f>IF(B230&lt;=0,0,B230*IF('Simulador 7x5'!$Y$81=1,0,'Simulador 7x5'!$U$75))</f>
        <v>0</v>
      </c>
      <c r="U230" s="500"/>
      <c r="V230" s="513">
        <f>IF(B230&lt;=0,0,IF('Simulador 7x5'!$T$41=1,'Simulador 7x5'!$E$55,'Simulador 7x5'!$G$55))</f>
        <v>0</v>
      </c>
      <c r="W230" s="500"/>
      <c r="X230" s="500">
        <f t="shared" si="76"/>
        <v>0</v>
      </c>
      <c r="Y230" s="7"/>
      <c r="Z230" s="12"/>
      <c r="AA230" s="17"/>
      <c r="AB230" s="2">
        <f t="shared" si="77"/>
        <v>0</v>
      </c>
      <c r="AC230" s="21">
        <f t="shared" si="78"/>
        <v>0</v>
      </c>
      <c r="AD230" s="380">
        <f t="shared" si="79"/>
        <v>0</v>
      </c>
      <c r="AE230" s="380">
        <f t="shared" si="80"/>
        <v>0</v>
      </c>
      <c r="AF230" s="381">
        <f t="shared" si="81"/>
        <v>0</v>
      </c>
      <c r="AG230" s="380">
        <f t="shared" si="82"/>
        <v>0</v>
      </c>
      <c r="AH230" s="380">
        <f t="shared" si="83"/>
        <v>0</v>
      </c>
      <c r="AI230" s="380">
        <f>IF(AD230&lt;=0,0,AD230*IF('Simulador 7x5'!$Y$81=1,0,'Simulador 7x5'!$U$75))+IF(AD230&lt;=0,0,IF('Simulador 7x5'!$T$41=1,'Simulador 7x5'!$E$55,'Simulador 7x5'!$G$55))</f>
        <v>0</v>
      </c>
      <c r="AJ230" s="380">
        <f t="shared" si="84"/>
        <v>0</v>
      </c>
      <c r="AK230" s="109">
        <f t="shared" si="85"/>
        <v>0</v>
      </c>
      <c r="AM230" s="141">
        <v>17</v>
      </c>
      <c r="AN230" s="2">
        <v>0</v>
      </c>
      <c r="AO230" s="329">
        <f t="shared" si="86"/>
        <v>0</v>
      </c>
      <c r="AP230" s="329">
        <f t="shared" si="87"/>
        <v>0</v>
      </c>
      <c r="AQ230" s="20">
        <f t="shared" si="88"/>
        <v>0</v>
      </c>
      <c r="AR230" s="36"/>
      <c r="AS230">
        <f t="shared" si="89"/>
        <v>0</v>
      </c>
      <c r="AT230" s="384">
        <f t="shared" si="90"/>
      </c>
      <c r="AU230" s="385">
        <f t="shared" si="91"/>
        <v>0</v>
      </c>
      <c r="AV230" s="36">
        <v>120</v>
      </c>
    </row>
    <row r="231" spans="1:48" ht="12.75">
      <c r="A231" s="443">
        <f t="shared" si="92"/>
        <v>215</v>
      </c>
      <c r="B231" s="498">
        <f t="shared" si="69"/>
        <v>0</v>
      </c>
      <c r="C231" s="499"/>
      <c r="D231" s="498">
        <f t="shared" si="70"/>
        <v>0</v>
      </c>
      <c r="E231" s="500"/>
      <c r="F231" s="500">
        <f t="shared" si="71"/>
        <v>0</v>
      </c>
      <c r="G231" s="500"/>
      <c r="H231" s="500">
        <f t="shared" si="72"/>
        <v>0</v>
      </c>
      <c r="I231" s="501"/>
      <c r="J231" s="505">
        <f t="shared" si="73"/>
        <v>0</v>
      </c>
      <c r="K231" s="501"/>
      <c r="L231" s="502"/>
      <c r="M231" s="501"/>
      <c r="N231" s="500">
        <v>0</v>
      </c>
      <c r="O231" s="6"/>
      <c r="P231" s="457">
        <f t="shared" si="74"/>
        <v>0</v>
      </c>
      <c r="Q231" s="1"/>
      <c r="R231" s="500">
        <f t="shared" si="75"/>
        <v>0</v>
      </c>
      <c r="S231" s="500"/>
      <c r="T231" s="500">
        <f>IF(B231&lt;=0,0,B231*IF('Simulador 7x5'!$Y$81=1,0,'Simulador 7x5'!$U$75))</f>
        <v>0</v>
      </c>
      <c r="U231" s="500"/>
      <c r="V231" s="513">
        <f>IF(B231&lt;=0,0,IF('Simulador 7x5'!$T$41=1,'Simulador 7x5'!$E$55,'Simulador 7x5'!$G$55))</f>
        <v>0</v>
      </c>
      <c r="W231" s="500"/>
      <c r="X231" s="500">
        <f t="shared" si="76"/>
        <v>0</v>
      </c>
      <c r="Y231" s="7"/>
      <c r="Z231" s="12"/>
      <c r="AA231" s="17"/>
      <c r="AB231" s="2">
        <f t="shared" si="77"/>
        <v>0</v>
      </c>
      <c r="AC231" s="21">
        <f t="shared" si="78"/>
        <v>0</v>
      </c>
      <c r="AD231" s="380">
        <f t="shared" si="79"/>
        <v>0</v>
      </c>
      <c r="AE231" s="380">
        <f t="shared" si="80"/>
        <v>0</v>
      </c>
      <c r="AF231" s="381">
        <f t="shared" si="81"/>
        <v>0</v>
      </c>
      <c r="AG231" s="380">
        <f t="shared" si="82"/>
        <v>0</v>
      </c>
      <c r="AH231" s="380">
        <f t="shared" si="83"/>
        <v>0</v>
      </c>
      <c r="AI231" s="380">
        <f>IF(AD231&lt;=0,0,AD231*IF('Simulador 7x5'!$Y$81=1,0,'Simulador 7x5'!$U$75))+IF(AD231&lt;=0,0,IF('Simulador 7x5'!$T$41=1,'Simulador 7x5'!$E$55,'Simulador 7x5'!$G$55))</f>
        <v>0</v>
      </c>
      <c r="AJ231" s="380">
        <f t="shared" si="84"/>
        <v>0</v>
      </c>
      <c r="AK231" s="109">
        <f t="shared" si="85"/>
        <v>0</v>
      </c>
      <c r="AM231" s="141">
        <v>17</v>
      </c>
      <c r="AN231" s="2">
        <v>0</v>
      </c>
      <c r="AO231" s="329">
        <f t="shared" si="86"/>
        <v>0</v>
      </c>
      <c r="AP231" s="329">
        <f t="shared" si="87"/>
        <v>0</v>
      </c>
      <c r="AQ231" s="20">
        <f t="shared" si="88"/>
        <v>0</v>
      </c>
      <c r="AR231" s="36"/>
      <c r="AS231">
        <f t="shared" si="89"/>
        <v>0</v>
      </c>
      <c r="AT231" s="384">
        <f t="shared" si="90"/>
      </c>
      <c r="AU231" s="385">
        <f t="shared" si="91"/>
        <v>0</v>
      </c>
      <c r="AV231" s="36">
        <v>120</v>
      </c>
    </row>
    <row r="232" spans="1:48" ht="12.75">
      <c r="A232" s="443">
        <f t="shared" si="92"/>
        <v>216</v>
      </c>
      <c r="B232" s="498">
        <f t="shared" si="69"/>
        <v>0</v>
      </c>
      <c r="C232" s="499"/>
      <c r="D232" s="498">
        <f t="shared" si="70"/>
        <v>0</v>
      </c>
      <c r="E232" s="500"/>
      <c r="F232" s="500">
        <f t="shared" si="71"/>
        <v>0</v>
      </c>
      <c r="G232" s="500"/>
      <c r="H232" s="500">
        <f t="shared" si="72"/>
        <v>0</v>
      </c>
      <c r="I232" s="501"/>
      <c r="J232" s="505">
        <f t="shared" si="73"/>
        <v>0</v>
      </c>
      <c r="K232" s="501"/>
      <c r="L232" s="502"/>
      <c r="M232" s="501"/>
      <c r="N232" s="500">
        <v>0</v>
      </c>
      <c r="O232" s="6"/>
      <c r="P232" s="457">
        <f t="shared" si="74"/>
        <v>0</v>
      </c>
      <c r="Q232" s="1"/>
      <c r="R232" s="500">
        <f t="shared" si="75"/>
        <v>0</v>
      </c>
      <c r="S232" s="500"/>
      <c r="T232" s="500">
        <f>IF(B232&lt;=0,0,B232*IF('Simulador 7x5'!$Y$81=1,0,'Simulador 7x5'!$U$75))</f>
        <v>0</v>
      </c>
      <c r="U232" s="500"/>
      <c r="V232" s="513">
        <f>IF(B232&lt;=0,0,IF('Simulador 7x5'!$T$41=1,'Simulador 7x5'!$E$55,'Simulador 7x5'!$G$55))</f>
        <v>0</v>
      </c>
      <c r="W232" s="500"/>
      <c r="X232" s="500">
        <f t="shared" si="76"/>
        <v>0</v>
      </c>
      <c r="Y232" s="7"/>
      <c r="Z232" s="12"/>
      <c r="AA232" s="17"/>
      <c r="AB232" s="2">
        <f t="shared" si="77"/>
        <v>0</v>
      </c>
      <c r="AC232" s="21">
        <f t="shared" si="78"/>
        <v>0</v>
      </c>
      <c r="AD232" s="380">
        <f t="shared" si="79"/>
        <v>0</v>
      </c>
      <c r="AE232" s="380">
        <f t="shared" si="80"/>
        <v>0</v>
      </c>
      <c r="AF232" s="381">
        <f t="shared" si="81"/>
        <v>0</v>
      </c>
      <c r="AG232" s="380">
        <f t="shared" si="82"/>
        <v>0</v>
      </c>
      <c r="AH232" s="380">
        <f t="shared" si="83"/>
        <v>0</v>
      </c>
      <c r="AI232" s="380">
        <f>IF(AD232&lt;=0,0,AD232*IF('Simulador 7x5'!$Y$81=1,0,'Simulador 7x5'!$U$75))+IF(AD232&lt;=0,0,IF('Simulador 7x5'!$T$41=1,'Simulador 7x5'!$E$55,'Simulador 7x5'!$G$55))</f>
        <v>0</v>
      </c>
      <c r="AJ232" s="380">
        <f t="shared" si="84"/>
        <v>0</v>
      </c>
      <c r="AK232" s="109">
        <f t="shared" si="85"/>
        <v>0</v>
      </c>
      <c r="AM232" s="141">
        <v>18</v>
      </c>
      <c r="AN232" s="2">
        <v>0</v>
      </c>
      <c r="AO232" s="329">
        <f t="shared" si="86"/>
        <v>0</v>
      </c>
      <c r="AP232" s="329">
        <f t="shared" si="87"/>
        <v>0</v>
      </c>
      <c r="AQ232" s="20">
        <f t="shared" si="88"/>
        <v>0</v>
      </c>
      <c r="AR232" s="36"/>
      <c r="AS232">
        <f t="shared" si="89"/>
        <v>0</v>
      </c>
      <c r="AT232" s="384">
        <f t="shared" si="90"/>
      </c>
      <c r="AU232" s="385">
        <f t="shared" si="91"/>
        <v>0</v>
      </c>
      <c r="AV232" s="36">
        <v>120</v>
      </c>
    </row>
    <row r="233" spans="1:48" ht="12.75">
      <c r="A233" s="443">
        <f t="shared" si="92"/>
        <v>217</v>
      </c>
      <c r="B233" s="498">
        <f t="shared" si="69"/>
        <v>0</v>
      </c>
      <c r="C233" s="499"/>
      <c r="D233" s="498">
        <f t="shared" si="70"/>
        <v>0</v>
      </c>
      <c r="E233" s="500"/>
      <c r="F233" s="500">
        <f t="shared" si="71"/>
        <v>0</v>
      </c>
      <c r="G233" s="500"/>
      <c r="H233" s="500">
        <f t="shared" si="72"/>
        <v>0</v>
      </c>
      <c r="I233" s="501"/>
      <c r="J233" s="505">
        <f t="shared" si="73"/>
        <v>0</v>
      </c>
      <c r="K233" s="501"/>
      <c r="L233" s="502"/>
      <c r="M233" s="501"/>
      <c r="N233" s="500">
        <v>0</v>
      </c>
      <c r="O233" s="6"/>
      <c r="P233" s="457">
        <f t="shared" si="74"/>
        <v>0</v>
      </c>
      <c r="Q233" s="1"/>
      <c r="R233" s="500">
        <f t="shared" si="75"/>
        <v>0</v>
      </c>
      <c r="S233" s="500"/>
      <c r="T233" s="500">
        <f>IF(B233&lt;=0,0,B233*IF('Simulador 7x5'!$Y$81=1,0,'Simulador 7x5'!$U$75))</f>
        <v>0</v>
      </c>
      <c r="U233" s="500"/>
      <c r="V233" s="513">
        <f>IF(B233&lt;=0,0,IF('Simulador 7x5'!$T$41=1,'Simulador 7x5'!$E$55,'Simulador 7x5'!$G$55))</f>
        <v>0</v>
      </c>
      <c r="W233" s="500"/>
      <c r="X233" s="500">
        <f t="shared" si="76"/>
        <v>0</v>
      </c>
      <c r="Y233" s="7"/>
      <c r="Z233" s="12"/>
      <c r="AA233" s="17"/>
      <c r="AB233" s="2">
        <f t="shared" si="77"/>
        <v>0</v>
      </c>
      <c r="AC233" s="21">
        <f t="shared" si="78"/>
        <v>0</v>
      </c>
      <c r="AD233" s="380">
        <f t="shared" si="79"/>
        <v>0</v>
      </c>
      <c r="AE233" s="380">
        <f t="shared" si="80"/>
        <v>0</v>
      </c>
      <c r="AF233" s="381">
        <f t="shared" si="81"/>
        <v>0</v>
      </c>
      <c r="AG233" s="380">
        <f t="shared" si="82"/>
        <v>0</v>
      </c>
      <c r="AH233" s="380">
        <f t="shared" si="83"/>
        <v>0</v>
      </c>
      <c r="AI233" s="380">
        <f>IF(AD233&lt;=0,0,AD233*IF('Simulador 7x5'!$Y$81=1,0,'Simulador 7x5'!$U$75))+IF(AD233&lt;=0,0,IF('Simulador 7x5'!$T$41=1,'Simulador 7x5'!$E$55,'Simulador 7x5'!$G$55))</f>
        <v>0</v>
      </c>
      <c r="AJ233" s="380">
        <f t="shared" si="84"/>
        <v>0</v>
      </c>
      <c r="AK233" s="109">
        <f t="shared" si="85"/>
        <v>0</v>
      </c>
      <c r="AM233" s="141">
        <v>18</v>
      </c>
      <c r="AN233" s="2">
        <v>0</v>
      </c>
      <c r="AO233" s="329">
        <f t="shared" si="86"/>
        <v>0</v>
      </c>
      <c r="AP233" s="329">
        <f t="shared" si="87"/>
        <v>0</v>
      </c>
      <c r="AQ233" s="20">
        <f t="shared" si="88"/>
        <v>0</v>
      </c>
      <c r="AR233" s="36"/>
      <c r="AS233">
        <f t="shared" si="89"/>
        <v>0</v>
      </c>
      <c r="AT233" s="384">
        <f t="shared" si="90"/>
      </c>
      <c r="AU233" s="385">
        <f t="shared" si="91"/>
        <v>0</v>
      </c>
      <c r="AV233" s="36">
        <v>120</v>
      </c>
    </row>
    <row r="234" spans="1:48" ht="12.75">
      <c r="A234" s="443">
        <f t="shared" si="92"/>
        <v>218</v>
      </c>
      <c r="B234" s="498">
        <f t="shared" si="69"/>
        <v>0</v>
      </c>
      <c r="C234" s="499"/>
      <c r="D234" s="498">
        <f t="shared" si="70"/>
        <v>0</v>
      </c>
      <c r="E234" s="500"/>
      <c r="F234" s="500">
        <f t="shared" si="71"/>
        <v>0</v>
      </c>
      <c r="G234" s="500"/>
      <c r="H234" s="500">
        <f t="shared" si="72"/>
        <v>0</v>
      </c>
      <c r="I234" s="501"/>
      <c r="J234" s="505">
        <f t="shared" si="73"/>
        <v>0</v>
      </c>
      <c r="K234" s="501"/>
      <c r="L234" s="502"/>
      <c r="M234" s="501"/>
      <c r="N234" s="500">
        <v>0</v>
      </c>
      <c r="O234" s="6"/>
      <c r="P234" s="457">
        <f t="shared" si="74"/>
        <v>0</v>
      </c>
      <c r="Q234" s="1"/>
      <c r="R234" s="500">
        <f t="shared" si="75"/>
        <v>0</v>
      </c>
      <c r="S234" s="500"/>
      <c r="T234" s="500">
        <f>IF(B234&lt;=0,0,B234*IF('Simulador 7x5'!$Y$81=1,0,'Simulador 7x5'!$U$75))</f>
        <v>0</v>
      </c>
      <c r="U234" s="500"/>
      <c r="V234" s="513">
        <f>IF(B234&lt;=0,0,IF('Simulador 7x5'!$T$41=1,'Simulador 7x5'!$E$55,'Simulador 7x5'!$G$55))</f>
        <v>0</v>
      </c>
      <c r="W234" s="500"/>
      <c r="X234" s="500">
        <f t="shared" si="76"/>
        <v>0</v>
      </c>
      <c r="Y234" s="7"/>
      <c r="Z234" s="12"/>
      <c r="AA234" s="17"/>
      <c r="AB234" s="2">
        <f t="shared" si="77"/>
        <v>0</v>
      </c>
      <c r="AC234" s="21">
        <f t="shared" si="78"/>
        <v>0</v>
      </c>
      <c r="AD234" s="380">
        <f t="shared" si="79"/>
        <v>0</v>
      </c>
      <c r="AE234" s="380">
        <f t="shared" si="80"/>
        <v>0</v>
      </c>
      <c r="AF234" s="381">
        <f t="shared" si="81"/>
        <v>0</v>
      </c>
      <c r="AG234" s="380">
        <f t="shared" si="82"/>
        <v>0</v>
      </c>
      <c r="AH234" s="380">
        <f t="shared" si="83"/>
        <v>0</v>
      </c>
      <c r="AI234" s="380">
        <f>IF(AD234&lt;=0,0,AD234*IF('Simulador 7x5'!$Y$81=1,0,'Simulador 7x5'!$U$75))+IF(AD234&lt;=0,0,IF('Simulador 7x5'!$T$41=1,'Simulador 7x5'!$E$55,'Simulador 7x5'!$G$55))</f>
        <v>0</v>
      </c>
      <c r="AJ234" s="380">
        <f t="shared" si="84"/>
        <v>0</v>
      </c>
      <c r="AK234" s="109">
        <f t="shared" si="85"/>
        <v>0</v>
      </c>
      <c r="AM234" s="141">
        <v>18</v>
      </c>
      <c r="AN234" s="2">
        <v>0</v>
      </c>
      <c r="AO234" s="329">
        <f t="shared" si="86"/>
        <v>0</v>
      </c>
      <c r="AP234" s="329">
        <f t="shared" si="87"/>
        <v>0</v>
      </c>
      <c r="AQ234" s="20">
        <f t="shared" si="88"/>
        <v>0</v>
      </c>
      <c r="AR234" s="36"/>
      <c r="AS234">
        <f t="shared" si="89"/>
        <v>0</v>
      </c>
      <c r="AT234" s="384">
        <f t="shared" si="90"/>
      </c>
      <c r="AU234" s="385">
        <f t="shared" si="91"/>
        <v>0</v>
      </c>
      <c r="AV234" s="36">
        <v>120</v>
      </c>
    </row>
    <row r="235" spans="1:48" ht="12.75">
      <c r="A235" s="443">
        <f t="shared" si="92"/>
        <v>219</v>
      </c>
      <c r="B235" s="498">
        <f t="shared" si="69"/>
        <v>0</v>
      </c>
      <c r="C235" s="499"/>
      <c r="D235" s="498">
        <f t="shared" si="70"/>
        <v>0</v>
      </c>
      <c r="E235" s="500"/>
      <c r="F235" s="500">
        <f t="shared" si="71"/>
        <v>0</v>
      </c>
      <c r="G235" s="500"/>
      <c r="H235" s="500">
        <f t="shared" si="72"/>
        <v>0</v>
      </c>
      <c r="I235" s="501"/>
      <c r="J235" s="505">
        <f t="shared" si="73"/>
        <v>0</v>
      </c>
      <c r="K235" s="501"/>
      <c r="L235" s="502"/>
      <c r="M235" s="501"/>
      <c r="N235" s="500">
        <v>0</v>
      </c>
      <c r="O235" s="6"/>
      <c r="P235" s="457">
        <f t="shared" si="74"/>
        <v>0</v>
      </c>
      <c r="Q235" s="1"/>
      <c r="R235" s="500">
        <f t="shared" si="75"/>
        <v>0</v>
      </c>
      <c r="S235" s="500"/>
      <c r="T235" s="500">
        <f>IF(B235&lt;=0,0,B235*IF('Simulador 7x5'!$Y$81=1,0,'Simulador 7x5'!$U$75))</f>
        <v>0</v>
      </c>
      <c r="U235" s="500"/>
      <c r="V235" s="513">
        <f>IF(B235&lt;=0,0,IF('Simulador 7x5'!$T$41=1,'Simulador 7x5'!$E$55,'Simulador 7x5'!$G$55))</f>
        <v>0</v>
      </c>
      <c r="W235" s="500"/>
      <c r="X235" s="500">
        <f t="shared" si="76"/>
        <v>0</v>
      </c>
      <c r="Y235" s="7"/>
      <c r="Z235" s="12"/>
      <c r="AA235" s="17"/>
      <c r="AB235" s="2">
        <f t="shared" si="77"/>
        <v>0</v>
      </c>
      <c r="AC235" s="21">
        <f t="shared" si="78"/>
        <v>0</v>
      </c>
      <c r="AD235" s="380">
        <f t="shared" si="79"/>
        <v>0</v>
      </c>
      <c r="AE235" s="380">
        <f t="shared" si="80"/>
        <v>0</v>
      </c>
      <c r="AF235" s="381">
        <f t="shared" si="81"/>
        <v>0</v>
      </c>
      <c r="AG235" s="380">
        <f t="shared" si="82"/>
        <v>0</v>
      </c>
      <c r="AH235" s="380">
        <f t="shared" si="83"/>
        <v>0</v>
      </c>
      <c r="AI235" s="380">
        <f>IF(AD235&lt;=0,0,AD235*IF('Simulador 7x5'!$Y$81=1,0,'Simulador 7x5'!$U$75))+IF(AD235&lt;=0,0,IF('Simulador 7x5'!$T$41=1,'Simulador 7x5'!$E$55,'Simulador 7x5'!$G$55))</f>
        <v>0</v>
      </c>
      <c r="AJ235" s="380">
        <f t="shared" si="84"/>
        <v>0</v>
      </c>
      <c r="AK235" s="109">
        <f t="shared" si="85"/>
        <v>0</v>
      </c>
      <c r="AM235" s="141">
        <v>18</v>
      </c>
      <c r="AN235" s="2">
        <v>0</v>
      </c>
      <c r="AO235" s="329">
        <f t="shared" si="86"/>
        <v>0</v>
      </c>
      <c r="AP235" s="329">
        <f t="shared" si="87"/>
        <v>0</v>
      </c>
      <c r="AQ235" s="20">
        <f t="shared" si="88"/>
        <v>0</v>
      </c>
      <c r="AR235" s="36"/>
      <c r="AS235">
        <f t="shared" si="89"/>
        <v>0</v>
      </c>
      <c r="AT235" s="384">
        <f t="shared" si="90"/>
      </c>
      <c r="AU235" s="385">
        <f t="shared" si="91"/>
        <v>0</v>
      </c>
      <c r="AV235" s="36">
        <v>120</v>
      </c>
    </row>
    <row r="236" spans="1:48" ht="12.75">
      <c r="A236" s="443">
        <f t="shared" si="92"/>
        <v>220</v>
      </c>
      <c r="B236" s="498">
        <f t="shared" si="69"/>
        <v>0</v>
      </c>
      <c r="C236" s="499"/>
      <c r="D236" s="498">
        <f t="shared" si="70"/>
        <v>0</v>
      </c>
      <c r="E236" s="500"/>
      <c r="F236" s="500">
        <f t="shared" si="71"/>
        <v>0</v>
      </c>
      <c r="G236" s="500"/>
      <c r="H236" s="500">
        <f t="shared" si="72"/>
        <v>0</v>
      </c>
      <c r="I236" s="501"/>
      <c r="J236" s="505">
        <f t="shared" si="73"/>
        <v>0</v>
      </c>
      <c r="K236" s="501"/>
      <c r="L236" s="502"/>
      <c r="M236" s="501"/>
      <c r="N236" s="500">
        <v>0</v>
      </c>
      <c r="O236" s="6"/>
      <c r="P236" s="457">
        <f t="shared" si="74"/>
        <v>0</v>
      </c>
      <c r="Q236" s="1"/>
      <c r="R236" s="500">
        <f t="shared" si="75"/>
        <v>0</v>
      </c>
      <c r="S236" s="500"/>
      <c r="T236" s="500">
        <f>IF(B236&lt;=0,0,B236*IF('Simulador 7x5'!$Y$81=1,0,'Simulador 7x5'!$U$75))</f>
        <v>0</v>
      </c>
      <c r="U236" s="500"/>
      <c r="V236" s="513">
        <f>IF(B236&lt;=0,0,IF('Simulador 7x5'!$T$41=1,'Simulador 7x5'!$E$55,'Simulador 7x5'!$G$55))</f>
        <v>0</v>
      </c>
      <c r="W236" s="500"/>
      <c r="X236" s="500">
        <f t="shared" si="76"/>
        <v>0</v>
      </c>
      <c r="Y236" s="7"/>
      <c r="Z236" s="12"/>
      <c r="AA236" s="17"/>
      <c r="AB236" s="2">
        <f t="shared" si="77"/>
        <v>0</v>
      </c>
      <c r="AC236" s="21">
        <f t="shared" si="78"/>
        <v>0</v>
      </c>
      <c r="AD236" s="380">
        <f t="shared" si="79"/>
        <v>0</v>
      </c>
      <c r="AE236" s="380">
        <f t="shared" si="80"/>
        <v>0</v>
      </c>
      <c r="AF236" s="381">
        <f t="shared" si="81"/>
        <v>0</v>
      </c>
      <c r="AG236" s="380">
        <f t="shared" si="82"/>
        <v>0</v>
      </c>
      <c r="AH236" s="380">
        <f t="shared" si="83"/>
        <v>0</v>
      </c>
      <c r="AI236" s="380">
        <f>IF(AD236&lt;=0,0,AD236*IF('Simulador 7x5'!$Y$81=1,0,'Simulador 7x5'!$U$75))+IF(AD236&lt;=0,0,IF('Simulador 7x5'!$T$41=1,'Simulador 7x5'!$E$55,'Simulador 7x5'!$G$55))</f>
        <v>0</v>
      </c>
      <c r="AJ236" s="380">
        <f t="shared" si="84"/>
        <v>0</v>
      </c>
      <c r="AK236" s="109">
        <f t="shared" si="85"/>
        <v>0</v>
      </c>
      <c r="AM236" s="141">
        <v>18</v>
      </c>
      <c r="AN236" s="2">
        <v>0</v>
      </c>
      <c r="AO236" s="329">
        <f t="shared" si="86"/>
        <v>0</v>
      </c>
      <c r="AP236" s="329">
        <f t="shared" si="87"/>
        <v>0</v>
      </c>
      <c r="AQ236" s="20">
        <f t="shared" si="88"/>
        <v>0</v>
      </c>
      <c r="AR236" s="36"/>
      <c r="AS236">
        <f t="shared" si="89"/>
        <v>0</v>
      </c>
      <c r="AT236" s="384">
        <f t="shared" si="90"/>
      </c>
      <c r="AU236" s="385">
        <f t="shared" si="91"/>
        <v>0</v>
      </c>
      <c r="AV236" s="36">
        <v>120</v>
      </c>
    </row>
    <row r="237" spans="1:48" ht="12.75">
      <c r="A237" s="443">
        <f t="shared" si="92"/>
        <v>221</v>
      </c>
      <c r="B237" s="498">
        <f t="shared" si="69"/>
        <v>0</v>
      </c>
      <c r="C237" s="499"/>
      <c r="D237" s="498">
        <f t="shared" si="70"/>
        <v>0</v>
      </c>
      <c r="E237" s="500"/>
      <c r="F237" s="500">
        <f t="shared" si="71"/>
        <v>0</v>
      </c>
      <c r="G237" s="500"/>
      <c r="H237" s="500">
        <f t="shared" si="72"/>
        <v>0</v>
      </c>
      <c r="I237" s="501"/>
      <c r="J237" s="505">
        <f t="shared" si="73"/>
        <v>0</v>
      </c>
      <c r="K237" s="501"/>
      <c r="L237" s="502"/>
      <c r="M237" s="501"/>
      <c r="N237" s="500">
        <v>0</v>
      </c>
      <c r="O237" s="6"/>
      <c r="P237" s="457">
        <f t="shared" si="74"/>
        <v>0</v>
      </c>
      <c r="Q237" s="1"/>
      <c r="R237" s="500">
        <f t="shared" si="75"/>
        <v>0</v>
      </c>
      <c r="S237" s="500"/>
      <c r="T237" s="500">
        <f>IF(B237&lt;=0,0,B237*IF('Simulador 7x5'!$Y$81=1,0,'Simulador 7x5'!$U$75))</f>
        <v>0</v>
      </c>
      <c r="U237" s="500"/>
      <c r="V237" s="513">
        <f>IF(B237&lt;=0,0,IF('Simulador 7x5'!$T$41=1,'Simulador 7x5'!$E$55,'Simulador 7x5'!$G$55))</f>
        <v>0</v>
      </c>
      <c r="W237" s="500"/>
      <c r="X237" s="500">
        <f t="shared" si="76"/>
        <v>0</v>
      </c>
      <c r="Y237" s="7"/>
      <c r="Z237" s="12"/>
      <c r="AA237" s="17"/>
      <c r="AB237" s="2">
        <f t="shared" si="77"/>
        <v>0</v>
      </c>
      <c r="AC237" s="21">
        <f t="shared" si="78"/>
        <v>0</v>
      </c>
      <c r="AD237" s="380">
        <f t="shared" si="79"/>
        <v>0</v>
      </c>
      <c r="AE237" s="380">
        <f t="shared" si="80"/>
        <v>0</v>
      </c>
      <c r="AF237" s="381">
        <f t="shared" si="81"/>
        <v>0</v>
      </c>
      <c r="AG237" s="380">
        <f t="shared" si="82"/>
        <v>0</v>
      </c>
      <c r="AH237" s="380">
        <f t="shared" si="83"/>
        <v>0</v>
      </c>
      <c r="AI237" s="380">
        <f>IF(AD237&lt;=0,0,AD237*IF('Simulador 7x5'!$Y$81=1,0,'Simulador 7x5'!$U$75))+IF(AD237&lt;=0,0,IF('Simulador 7x5'!$T$41=1,'Simulador 7x5'!$E$55,'Simulador 7x5'!$G$55))</f>
        <v>0</v>
      </c>
      <c r="AJ237" s="380">
        <f t="shared" si="84"/>
        <v>0</v>
      </c>
      <c r="AK237" s="109">
        <f t="shared" si="85"/>
        <v>0</v>
      </c>
      <c r="AM237" s="141">
        <v>18</v>
      </c>
      <c r="AN237" s="2">
        <v>0</v>
      </c>
      <c r="AO237" s="329">
        <f t="shared" si="86"/>
        <v>0</v>
      </c>
      <c r="AP237" s="329">
        <f t="shared" si="87"/>
        <v>0</v>
      </c>
      <c r="AQ237" s="20">
        <f t="shared" si="88"/>
        <v>0</v>
      </c>
      <c r="AR237" s="36"/>
      <c r="AS237">
        <f t="shared" si="89"/>
        <v>0</v>
      </c>
      <c r="AT237" s="384">
        <f t="shared" si="90"/>
      </c>
      <c r="AU237" s="385">
        <f t="shared" si="91"/>
        <v>0</v>
      </c>
      <c r="AV237" s="36">
        <v>120</v>
      </c>
    </row>
    <row r="238" spans="1:48" ht="12.75">
      <c r="A238" s="443">
        <f t="shared" si="92"/>
        <v>222</v>
      </c>
      <c r="B238" s="498">
        <f t="shared" si="69"/>
        <v>0</v>
      </c>
      <c r="C238" s="499"/>
      <c r="D238" s="498">
        <f t="shared" si="70"/>
        <v>0</v>
      </c>
      <c r="E238" s="500"/>
      <c r="F238" s="500">
        <f t="shared" si="71"/>
        <v>0</v>
      </c>
      <c r="G238" s="500"/>
      <c r="H238" s="500">
        <f t="shared" si="72"/>
        <v>0</v>
      </c>
      <c r="I238" s="501"/>
      <c r="J238" s="505">
        <f t="shared" si="73"/>
        <v>0</v>
      </c>
      <c r="K238" s="501"/>
      <c r="L238" s="502"/>
      <c r="M238" s="501"/>
      <c r="N238" s="500">
        <v>0</v>
      </c>
      <c r="O238" s="6"/>
      <c r="P238" s="457">
        <f t="shared" si="74"/>
        <v>0</v>
      </c>
      <c r="Q238" s="1"/>
      <c r="R238" s="500">
        <f t="shared" si="75"/>
        <v>0</v>
      </c>
      <c r="S238" s="500"/>
      <c r="T238" s="500">
        <f>IF(B238&lt;=0,0,B238*IF('Simulador 7x5'!$Y$81=1,0,'Simulador 7x5'!$U$75))</f>
        <v>0</v>
      </c>
      <c r="U238" s="500"/>
      <c r="V238" s="513">
        <f>IF(B238&lt;=0,0,IF('Simulador 7x5'!$T$41=1,'Simulador 7x5'!$E$55,'Simulador 7x5'!$G$55))</f>
        <v>0</v>
      </c>
      <c r="W238" s="500"/>
      <c r="X238" s="500">
        <f t="shared" si="76"/>
        <v>0</v>
      </c>
      <c r="Y238" s="7"/>
      <c r="Z238" s="12"/>
      <c r="AA238" s="17"/>
      <c r="AB238" s="2">
        <f t="shared" si="77"/>
        <v>0</v>
      </c>
      <c r="AC238" s="21">
        <f t="shared" si="78"/>
        <v>0</v>
      </c>
      <c r="AD238" s="380">
        <f t="shared" si="79"/>
        <v>0</v>
      </c>
      <c r="AE238" s="380">
        <f t="shared" si="80"/>
        <v>0</v>
      </c>
      <c r="AF238" s="381">
        <f t="shared" si="81"/>
        <v>0</v>
      </c>
      <c r="AG238" s="380">
        <f t="shared" si="82"/>
        <v>0</v>
      </c>
      <c r="AH238" s="380">
        <f t="shared" si="83"/>
        <v>0</v>
      </c>
      <c r="AI238" s="380">
        <f>IF(AD238&lt;=0,0,AD238*IF('Simulador 7x5'!$Y$81=1,0,'Simulador 7x5'!$U$75))+IF(AD238&lt;=0,0,IF('Simulador 7x5'!$T$41=1,'Simulador 7x5'!$E$55,'Simulador 7x5'!$G$55))</f>
        <v>0</v>
      </c>
      <c r="AJ238" s="380">
        <f t="shared" si="84"/>
        <v>0</v>
      </c>
      <c r="AK238" s="109">
        <f t="shared" si="85"/>
        <v>0</v>
      </c>
      <c r="AM238" s="141">
        <v>18</v>
      </c>
      <c r="AN238" s="2">
        <v>0</v>
      </c>
      <c r="AO238" s="329">
        <f t="shared" si="86"/>
        <v>0</v>
      </c>
      <c r="AP238" s="329">
        <f t="shared" si="87"/>
        <v>0</v>
      </c>
      <c r="AQ238" s="20">
        <f t="shared" si="88"/>
        <v>0</v>
      </c>
      <c r="AR238" s="36"/>
      <c r="AS238">
        <f t="shared" si="89"/>
        <v>0</v>
      </c>
      <c r="AT238" s="384">
        <f t="shared" si="90"/>
      </c>
      <c r="AU238" s="385">
        <f t="shared" si="91"/>
        <v>0</v>
      </c>
      <c r="AV238" s="36">
        <v>120</v>
      </c>
    </row>
    <row r="239" spans="1:48" ht="12.75">
      <c r="A239" s="443">
        <f t="shared" si="92"/>
        <v>223</v>
      </c>
      <c r="B239" s="498">
        <f t="shared" si="69"/>
        <v>0</v>
      </c>
      <c r="C239" s="499"/>
      <c r="D239" s="498">
        <f t="shared" si="70"/>
        <v>0</v>
      </c>
      <c r="E239" s="500"/>
      <c r="F239" s="500">
        <f t="shared" si="71"/>
        <v>0</v>
      </c>
      <c r="G239" s="500"/>
      <c r="H239" s="500">
        <f t="shared" si="72"/>
        <v>0</v>
      </c>
      <c r="I239" s="501"/>
      <c r="J239" s="505">
        <f t="shared" si="73"/>
        <v>0</v>
      </c>
      <c r="K239" s="501"/>
      <c r="L239" s="502"/>
      <c r="M239" s="501"/>
      <c r="N239" s="500">
        <v>0</v>
      </c>
      <c r="O239" s="6"/>
      <c r="P239" s="457">
        <f t="shared" si="74"/>
        <v>0</v>
      </c>
      <c r="Q239" s="1"/>
      <c r="R239" s="500">
        <f t="shared" si="75"/>
        <v>0</v>
      </c>
      <c r="S239" s="500"/>
      <c r="T239" s="500">
        <f>IF(B239&lt;=0,0,B239*IF('Simulador 7x5'!$Y$81=1,0,'Simulador 7x5'!$U$75))</f>
        <v>0</v>
      </c>
      <c r="U239" s="500"/>
      <c r="V239" s="513">
        <f>IF(B239&lt;=0,0,IF('Simulador 7x5'!$T$41=1,'Simulador 7x5'!$E$55,'Simulador 7x5'!$G$55))</f>
        <v>0</v>
      </c>
      <c r="W239" s="500"/>
      <c r="X239" s="500">
        <f t="shared" si="76"/>
        <v>0</v>
      </c>
      <c r="Y239" s="7"/>
      <c r="Z239" s="12"/>
      <c r="AA239" s="17"/>
      <c r="AB239" s="2">
        <f t="shared" si="77"/>
        <v>0</v>
      </c>
      <c r="AC239" s="21">
        <f t="shared" si="78"/>
        <v>0</v>
      </c>
      <c r="AD239" s="380">
        <f t="shared" si="79"/>
        <v>0</v>
      </c>
      <c r="AE239" s="380">
        <f t="shared" si="80"/>
        <v>0</v>
      </c>
      <c r="AF239" s="381">
        <f t="shared" si="81"/>
        <v>0</v>
      </c>
      <c r="AG239" s="380">
        <f t="shared" si="82"/>
        <v>0</v>
      </c>
      <c r="AH239" s="380">
        <f t="shared" si="83"/>
        <v>0</v>
      </c>
      <c r="AI239" s="380">
        <f>IF(AD239&lt;=0,0,AD239*IF('Simulador 7x5'!$Y$81=1,0,'Simulador 7x5'!$U$75))+IF(AD239&lt;=0,0,IF('Simulador 7x5'!$T$41=1,'Simulador 7x5'!$E$55,'Simulador 7x5'!$G$55))</f>
        <v>0</v>
      </c>
      <c r="AJ239" s="380">
        <f t="shared" si="84"/>
        <v>0</v>
      </c>
      <c r="AK239" s="109">
        <f t="shared" si="85"/>
        <v>0</v>
      </c>
      <c r="AM239" s="141">
        <v>18</v>
      </c>
      <c r="AN239" s="2">
        <v>0</v>
      </c>
      <c r="AO239" s="329">
        <f t="shared" si="86"/>
        <v>0</v>
      </c>
      <c r="AP239" s="329">
        <f t="shared" si="87"/>
        <v>0</v>
      </c>
      <c r="AQ239" s="20">
        <f t="shared" si="88"/>
        <v>0</v>
      </c>
      <c r="AR239" s="36"/>
      <c r="AS239">
        <f t="shared" si="89"/>
        <v>0</v>
      </c>
      <c r="AT239" s="384">
        <f t="shared" si="90"/>
      </c>
      <c r="AU239" s="385">
        <f t="shared" si="91"/>
        <v>0</v>
      </c>
      <c r="AV239" s="36">
        <v>120</v>
      </c>
    </row>
    <row r="240" spans="1:48" ht="12.75">
      <c r="A240" s="443">
        <f t="shared" si="92"/>
        <v>224</v>
      </c>
      <c r="B240" s="498">
        <f t="shared" si="69"/>
        <v>0</v>
      </c>
      <c r="C240" s="499"/>
      <c r="D240" s="498">
        <f t="shared" si="70"/>
        <v>0</v>
      </c>
      <c r="E240" s="500"/>
      <c r="F240" s="500">
        <f t="shared" si="71"/>
        <v>0</v>
      </c>
      <c r="G240" s="500"/>
      <c r="H240" s="500">
        <f t="shared" si="72"/>
        <v>0</v>
      </c>
      <c r="I240" s="501"/>
      <c r="J240" s="505">
        <f t="shared" si="73"/>
        <v>0</v>
      </c>
      <c r="K240" s="501"/>
      <c r="L240" s="502"/>
      <c r="M240" s="501"/>
      <c r="N240" s="500">
        <v>0</v>
      </c>
      <c r="O240" s="6"/>
      <c r="P240" s="457">
        <f t="shared" si="74"/>
        <v>0</v>
      </c>
      <c r="Q240" s="1"/>
      <c r="R240" s="500">
        <f t="shared" si="75"/>
        <v>0</v>
      </c>
      <c r="S240" s="500"/>
      <c r="T240" s="500">
        <f>IF(B240&lt;=0,0,B240*IF('Simulador 7x5'!$Y$81=1,0,'Simulador 7x5'!$U$75))</f>
        <v>0</v>
      </c>
      <c r="U240" s="500"/>
      <c r="V240" s="513">
        <f>IF(B240&lt;=0,0,IF('Simulador 7x5'!$T$41=1,'Simulador 7x5'!$E$55,'Simulador 7x5'!$G$55))</f>
        <v>0</v>
      </c>
      <c r="W240" s="500"/>
      <c r="X240" s="500">
        <f t="shared" si="76"/>
        <v>0</v>
      </c>
      <c r="Y240" s="7"/>
      <c r="Z240" s="12"/>
      <c r="AA240" s="17"/>
      <c r="AB240" s="2">
        <f t="shared" si="77"/>
        <v>0</v>
      </c>
      <c r="AC240" s="21">
        <f t="shared" si="78"/>
        <v>0</v>
      </c>
      <c r="AD240" s="380">
        <f t="shared" si="79"/>
        <v>0</v>
      </c>
      <c r="AE240" s="380">
        <f t="shared" si="80"/>
        <v>0</v>
      </c>
      <c r="AF240" s="381">
        <f t="shared" si="81"/>
        <v>0</v>
      </c>
      <c r="AG240" s="380">
        <f t="shared" si="82"/>
        <v>0</v>
      </c>
      <c r="AH240" s="380">
        <f t="shared" si="83"/>
        <v>0</v>
      </c>
      <c r="AI240" s="380">
        <f>IF(AD240&lt;=0,0,AD240*IF('Simulador 7x5'!$Y$81=1,0,'Simulador 7x5'!$U$75))+IF(AD240&lt;=0,0,IF('Simulador 7x5'!$T$41=1,'Simulador 7x5'!$E$55,'Simulador 7x5'!$G$55))</f>
        <v>0</v>
      </c>
      <c r="AJ240" s="380">
        <f t="shared" si="84"/>
        <v>0</v>
      </c>
      <c r="AK240" s="109">
        <f t="shared" si="85"/>
        <v>0</v>
      </c>
      <c r="AM240" s="141">
        <v>18</v>
      </c>
      <c r="AN240" s="2">
        <v>0</v>
      </c>
      <c r="AO240" s="329">
        <f t="shared" si="86"/>
        <v>0</v>
      </c>
      <c r="AP240" s="329">
        <f t="shared" si="87"/>
        <v>0</v>
      </c>
      <c r="AQ240" s="20">
        <f t="shared" si="88"/>
        <v>0</v>
      </c>
      <c r="AR240" s="36"/>
      <c r="AS240">
        <f t="shared" si="89"/>
        <v>0</v>
      </c>
      <c r="AT240" s="384">
        <f t="shared" si="90"/>
      </c>
      <c r="AU240" s="385">
        <f t="shared" si="91"/>
        <v>0</v>
      </c>
      <c r="AV240" s="36">
        <v>120</v>
      </c>
    </row>
    <row r="241" spans="1:48" ht="12.75">
      <c r="A241" s="443">
        <f t="shared" si="92"/>
        <v>225</v>
      </c>
      <c r="B241" s="498">
        <f t="shared" si="69"/>
        <v>0</v>
      </c>
      <c r="C241" s="499"/>
      <c r="D241" s="498">
        <f t="shared" si="70"/>
        <v>0</v>
      </c>
      <c r="E241" s="500"/>
      <c r="F241" s="500">
        <f t="shared" si="71"/>
        <v>0</v>
      </c>
      <c r="G241" s="500"/>
      <c r="H241" s="500">
        <f t="shared" si="72"/>
        <v>0</v>
      </c>
      <c r="I241" s="501"/>
      <c r="J241" s="505">
        <f t="shared" si="73"/>
        <v>0</v>
      </c>
      <c r="K241" s="501"/>
      <c r="L241" s="502"/>
      <c r="M241" s="501"/>
      <c r="N241" s="500">
        <v>0</v>
      </c>
      <c r="O241" s="6"/>
      <c r="P241" s="457">
        <f t="shared" si="74"/>
        <v>0</v>
      </c>
      <c r="Q241" s="1"/>
      <c r="R241" s="500">
        <f t="shared" si="75"/>
        <v>0</v>
      </c>
      <c r="S241" s="500"/>
      <c r="T241" s="500">
        <f>IF(B241&lt;=0,0,B241*IF('Simulador 7x5'!$Y$81=1,0,'Simulador 7x5'!$U$75))</f>
        <v>0</v>
      </c>
      <c r="U241" s="500"/>
      <c r="V241" s="513">
        <f>IF(B241&lt;=0,0,IF('Simulador 7x5'!$T$41=1,'Simulador 7x5'!$E$55,'Simulador 7x5'!$G$55))</f>
        <v>0</v>
      </c>
      <c r="W241" s="500"/>
      <c r="X241" s="500">
        <f t="shared" si="76"/>
        <v>0</v>
      </c>
      <c r="Y241" s="7"/>
      <c r="Z241" s="12"/>
      <c r="AA241" s="17"/>
      <c r="AB241" s="2">
        <f t="shared" si="77"/>
        <v>0</v>
      </c>
      <c r="AC241" s="21">
        <f t="shared" si="78"/>
        <v>0</v>
      </c>
      <c r="AD241" s="380">
        <f t="shared" si="79"/>
        <v>0</v>
      </c>
      <c r="AE241" s="380">
        <f t="shared" si="80"/>
        <v>0</v>
      </c>
      <c r="AF241" s="381">
        <f t="shared" si="81"/>
        <v>0</v>
      </c>
      <c r="AG241" s="380">
        <f t="shared" si="82"/>
        <v>0</v>
      </c>
      <c r="AH241" s="380">
        <f t="shared" si="83"/>
        <v>0</v>
      </c>
      <c r="AI241" s="380">
        <f>IF(AD241&lt;=0,0,AD241*IF('Simulador 7x5'!$Y$81=1,0,'Simulador 7x5'!$U$75))+IF(AD241&lt;=0,0,IF('Simulador 7x5'!$T$41=1,'Simulador 7x5'!$E$55,'Simulador 7x5'!$G$55))</f>
        <v>0</v>
      </c>
      <c r="AJ241" s="380">
        <f t="shared" si="84"/>
        <v>0</v>
      </c>
      <c r="AK241" s="109">
        <f t="shared" si="85"/>
        <v>0</v>
      </c>
      <c r="AM241" s="141">
        <v>18</v>
      </c>
      <c r="AN241" s="2">
        <v>0</v>
      </c>
      <c r="AO241" s="329">
        <f t="shared" si="86"/>
        <v>0</v>
      </c>
      <c r="AP241" s="329">
        <f t="shared" si="87"/>
        <v>0</v>
      </c>
      <c r="AQ241" s="20">
        <f t="shared" si="88"/>
        <v>0</v>
      </c>
      <c r="AR241" s="36"/>
      <c r="AS241">
        <f t="shared" si="89"/>
        <v>0</v>
      </c>
      <c r="AT241" s="384">
        <f t="shared" si="90"/>
      </c>
      <c r="AU241" s="385">
        <f t="shared" si="91"/>
        <v>0</v>
      </c>
      <c r="AV241" s="36">
        <v>120</v>
      </c>
    </row>
    <row r="242" spans="1:48" ht="12.75">
      <c r="A242" s="443">
        <f t="shared" si="92"/>
        <v>226</v>
      </c>
      <c r="B242" s="498">
        <f t="shared" si="69"/>
        <v>0</v>
      </c>
      <c r="C242" s="499"/>
      <c r="D242" s="498">
        <f t="shared" si="70"/>
        <v>0</v>
      </c>
      <c r="E242" s="500"/>
      <c r="F242" s="500">
        <f t="shared" si="71"/>
        <v>0</v>
      </c>
      <c r="G242" s="500"/>
      <c r="H242" s="500">
        <f t="shared" si="72"/>
        <v>0</v>
      </c>
      <c r="I242" s="501"/>
      <c r="J242" s="505">
        <f t="shared" si="73"/>
        <v>0</v>
      </c>
      <c r="K242" s="501"/>
      <c r="L242" s="502"/>
      <c r="M242" s="501"/>
      <c r="N242" s="500">
        <v>0</v>
      </c>
      <c r="O242" s="6"/>
      <c r="P242" s="457">
        <f t="shared" si="74"/>
        <v>0</v>
      </c>
      <c r="Q242" s="1"/>
      <c r="R242" s="500">
        <f t="shared" si="75"/>
        <v>0</v>
      </c>
      <c r="S242" s="500"/>
      <c r="T242" s="500">
        <f>IF(B242&lt;=0,0,B242*IF('Simulador 7x5'!$Y$81=1,0,'Simulador 7x5'!$U$75))</f>
        <v>0</v>
      </c>
      <c r="U242" s="500"/>
      <c r="V242" s="513">
        <f>IF(B242&lt;=0,0,IF('Simulador 7x5'!$T$41=1,'Simulador 7x5'!$E$55,'Simulador 7x5'!$G$55))</f>
        <v>0</v>
      </c>
      <c r="W242" s="500"/>
      <c r="X242" s="500">
        <f t="shared" si="76"/>
        <v>0</v>
      </c>
      <c r="Y242" s="7"/>
      <c r="Z242" s="12"/>
      <c r="AA242" s="17"/>
      <c r="AB242" s="2">
        <f t="shared" si="77"/>
        <v>0</v>
      </c>
      <c r="AC242" s="21">
        <f t="shared" si="78"/>
        <v>0</v>
      </c>
      <c r="AD242" s="380">
        <f t="shared" si="79"/>
        <v>0</v>
      </c>
      <c r="AE242" s="380">
        <f t="shared" si="80"/>
        <v>0</v>
      </c>
      <c r="AF242" s="381">
        <f t="shared" si="81"/>
        <v>0</v>
      </c>
      <c r="AG242" s="380">
        <f t="shared" si="82"/>
        <v>0</v>
      </c>
      <c r="AH242" s="380">
        <f t="shared" si="83"/>
        <v>0</v>
      </c>
      <c r="AI242" s="380">
        <f>IF(AD242&lt;=0,0,AD242*IF('Simulador 7x5'!$Y$81=1,0,'Simulador 7x5'!$U$75))+IF(AD242&lt;=0,0,IF('Simulador 7x5'!$T$41=1,'Simulador 7x5'!$E$55,'Simulador 7x5'!$G$55))</f>
        <v>0</v>
      </c>
      <c r="AJ242" s="380">
        <f t="shared" si="84"/>
        <v>0</v>
      </c>
      <c r="AK242" s="109">
        <f t="shared" si="85"/>
        <v>0</v>
      </c>
      <c r="AM242" s="141">
        <v>18</v>
      </c>
      <c r="AN242" s="2">
        <v>0</v>
      </c>
      <c r="AO242" s="329">
        <f t="shared" si="86"/>
        <v>0</v>
      </c>
      <c r="AP242" s="329">
        <f t="shared" si="87"/>
        <v>0</v>
      </c>
      <c r="AQ242" s="20">
        <f t="shared" si="88"/>
        <v>0</v>
      </c>
      <c r="AR242" s="36"/>
      <c r="AS242">
        <f t="shared" si="89"/>
        <v>0</v>
      </c>
      <c r="AT242" s="384">
        <f t="shared" si="90"/>
      </c>
      <c r="AU242" s="385">
        <f t="shared" si="91"/>
        <v>0</v>
      </c>
      <c r="AV242" s="36">
        <v>120</v>
      </c>
    </row>
    <row r="243" spans="1:48" ht="12.75">
      <c r="A243" s="443">
        <f t="shared" si="92"/>
        <v>227</v>
      </c>
      <c r="B243" s="498">
        <f t="shared" si="69"/>
        <v>0</v>
      </c>
      <c r="C243" s="499"/>
      <c r="D243" s="498">
        <f t="shared" si="70"/>
        <v>0</v>
      </c>
      <c r="E243" s="500"/>
      <c r="F243" s="500">
        <f t="shared" si="71"/>
        <v>0</v>
      </c>
      <c r="G243" s="500"/>
      <c r="H243" s="500">
        <f t="shared" si="72"/>
        <v>0</v>
      </c>
      <c r="I243" s="501"/>
      <c r="J243" s="505">
        <f t="shared" si="73"/>
        <v>0</v>
      </c>
      <c r="K243" s="501"/>
      <c r="L243" s="502"/>
      <c r="M243" s="501"/>
      <c r="N243" s="500">
        <v>0</v>
      </c>
      <c r="O243" s="6"/>
      <c r="P243" s="457">
        <f t="shared" si="74"/>
        <v>0</v>
      </c>
      <c r="Q243" s="1"/>
      <c r="R243" s="500">
        <f t="shared" si="75"/>
        <v>0</v>
      </c>
      <c r="S243" s="500"/>
      <c r="T243" s="500">
        <f>IF(B243&lt;=0,0,B243*IF('Simulador 7x5'!$Y$81=1,0,'Simulador 7x5'!$U$75))</f>
        <v>0</v>
      </c>
      <c r="U243" s="500"/>
      <c r="V243" s="513">
        <f>IF(B243&lt;=0,0,IF('Simulador 7x5'!$T$41=1,'Simulador 7x5'!$E$55,'Simulador 7x5'!$G$55))</f>
        <v>0</v>
      </c>
      <c r="W243" s="500"/>
      <c r="X243" s="500">
        <f t="shared" si="76"/>
        <v>0</v>
      </c>
      <c r="Y243" s="7"/>
      <c r="Z243" s="12"/>
      <c r="AA243" s="17"/>
      <c r="AB243" s="2">
        <f t="shared" si="77"/>
        <v>0</v>
      </c>
      <c r="AC243" s="21">
        <f t="shared" si="78"/>
        <v>0</v>
      </c>
      <c r="AD243" s="380">
        <f t="shared" si="79"/>
        <v>0</v>
      </c>
      <c r="AE243" s="380">
        <f t="shared" si="80"/>
        <v>0</v>
      </c>
      <c r="AF243" s="381">
        <f t="shared" si="81"/>
        <v>0</v>
      </c>
      <c r="AG243" s="380">
        <f t="shared" si="82"/>
        <v>0</v>
      </c>
      <c r="AH243" s="380">
        <f t="shared" si="83"/>
        <v>0</v>
      </c>
      <c r="AI243" s="380">
        <f>IF(AD243&lt;=0,0,AD243*IF('Simulador 7x5'!$Y$81=1,0,'Simulador 7x5'!$U$75))+IF(AD243&lt;=0,0,IF('Simulador 7x5'!$T$41=1,'Simulador 7x5'!$E$55,'Simulador 7x5'!$G$55))</f>
        <v>0</v>
      </c>
      <c r="AJ243" s="380">
        <f t="shared" si="84"/>
        <v>0</v>
      </c>
      <c r="AK243" s="109">
        <f t="shared" si="85"/>
        <v>0</v>
      </c>
      <c r="AM243" s="141">
        <v>18</v>
      </c>
      <c r="AN243" s="2">
        <v>0</v>
      </c>
      <c r="AO243" s="329">
        <f t="shared" si="86"/>
        <v>0</v>
      </c>
      <c r="AP243" s="329">
        <f t="shared" si="87"/>
        <v>0</v>
      </c>
      <c r="AQ243" s="20">
        <f t="shared" si="88"/>
        <v>0</v>
      </c>
      <c r="AR243" s="36"/>
      <c r="AS243">
        <f t="shared" si="89"/>
        <v>0</v>
      </c>
      <c r="AT243" s="384">
        <f t="shared" si="90"/>
      </c>
      <c r="AU243" s="385">
        <f t="shared" si="91"/>
        <v>0</v>
      </c>
      <c r="AV243" s="36">
        <v>120</v>
      </c>
    </row>
    <row r="244" spans="1:48" ht="12.75">
      <c r="A244" s="443">
        <f t="shared" si="92"/>
        <v>228</v>
      </c>
      <c r="B244" s="498">
        <f t="shared" si="69"/>
        <v>0</v>
      </c>
      <c r="C244" s="499"/>
      <c r="D244" s="498">
        <f t="shared" si="70"/>
        <v>0</v>
      </c>
      <c r="E244" s="500"/>
      <c r="F244" s="500">
        <f t="shared" si="71"/>
        <v>0</v>
      </c>
      <c r="G244" s="500"/>
      <c r="H244" s="500">
        <f t="shared" si="72"/>
        <v>0</v>
      </c>
      <c r="I244" s="501"/>
      <c r="J244" s="505">
        <f t="shared" si="73"/>
        <v>0</v>
      </c>
      <c r="K244" s="501"/>
      <c r="L244" s="502"/>
      <c r="M244" s="501"/>
      <c r="N244" s="500">
        <v>0</v>
      </c>
      <c r="O244" s="6"/>
      <c r="P244" s="457">
        <f t="shared" si="74"/>
        <v>0</v>
      </c>
      <c r="Q244" s="1"/>
      <c r="R244" s="500">
        <f t="shared" si="75"/>
        <v>0</v>
      </c>
      <c r="S244" s="500"/>
      <c r="T244" s="500">
        <f>IF(B244&lt;=0,0,B244*IF('Simulador 7x5'!$Y$81=1,0,'Simulador 7x5'!$U$75))</f>
        <v>0</v>
      </c>
      <c r="U244" s="500"/>
      <c r="V244" s="513">
        <f>IF(B244&lt;=0,0,IF('Simulador 7x5'!$T$41=1,'Simulador 7x5'!$E$55,'Simulador 7x5'!$G$55))</f>
        <v>0</v>
      </c>
      <c r="W244" s="500"/>
      <c r="X244" s="500">
        <f t="shared" si="76"/>
        <v>0</v>
      </c>
      <c r="Y244" s="7"/>
      <c r="Z244" s="12"/>
      <c r="AA244" s="17"/>
      <c r="AB244" s="2">
        <f t="shared" si="77"/>
        <v>0</v>
      </c>
      <c r="AC244" s="21">
        <f t="shared" si="78"/>
        <v>0</v>
      </c>
      <c r="AD244" s="380">
        <f t="shared" si="79"/>
        <v>0</v>
      </c>
      <c r="AE244" s="380">
        <f t="shared" si="80"/>
        <v>0</v>
      </c>
      <c r="AF244" s="381">
        <f t="shared" si="81"/>
        <v>0</v>
      </c>
      <c r="AG244" s="380">
        <f t="shared" si="82"/>
        <v>0</v>
      </c>
      <c r="AH244" s="380">
        <f t="shared" si="83"/>
        <v>0</v>
      </c>
      <c r="AI244" s="380">
        <f>IF(AD244&lt;=0,0,AD244*IF('Simulador 7x5'!$Y$81=1,0,'Simulador 7x5'!$U$75))+IF(AD244&lt;=0,0,IF('Simulador 7x5'!$T$41=1,'Simulador 7x5'!$E$55,'Simulador 7x5'!$G$55))</f>
        <v>0</v>
      </c>
      <c r="AJ244" s="380">
        <f t="shared" si="84"/>
        <v>0</v>
      </c>
      <c r="AK244" s="109">
        <f t="shared" si="85"/>
        <v>0</v>
      </c>
      <c r="AM244" s="141">
        <v>19</v>
      </c>
      <c r="AN244" s="2">
        <v>0</v>
      </c>
      <c r="AO244" s="329">
        <f t="shared" si="86"/>
        <v>0</v>
      </c>
      <c r="AP244" s="329">
        <f t="shared" si="87"/>
        <v>0</v>
      </c>
      <c r="AQ244" s="20">
        <f t="shared" si="88"/>
        <v>0</v>
      </c>
      <c r="AR244" s="36"/>
      <c r="AS244">
        <f t="shared" si="89"/>
        <v>0</v>
      </c>
      <c r="AT244" s="384">
        <f t="shared" si="90"/>
      </c>
      <c r="AU244" s="385">
        <f t="shared" si="91"/>
        <v>0</v>
      </c>
      <c r="AV244" s="36">
        <v>120</v>
      </c>
    </row>
    <row r="245" spans="1:48" ht="12.75">
      <c r="A245" s="443">
        <f t="shared" si="92"/>
        <v>229</v>
      </c>
      <c r="B245" s="498">
        <f t="shared" si="69"/>
        <v>0</v>
      </c>
      <c r="C245" s="499"/>
      <c r="D245" s="498">
        <f t="shared" si="70"/>
        <v>0</v>
      </c>
      <c r="E245" s="500"/>
      <c r="F245" s="500">
        <f t="shared" si="71"/>
        <v>0</v>
      </c>
      <c r="G245" s="500"/>
      <c r="H245" s="500">
        <f t="shared" si="72"/>
        <v>0</v>
      </c>
      <c r="I245" s="501"/>
      <c r="J245" s="505">
        <f t="shared" si="73"/>
        <v>0</v>
      </c>
      <c r="K245" s="501"/>
      <c r="L245" s="502"/>
      <c r="M245" s="501"/>
      <c r="N245" s="500">
        <v>0</v>
      </c>
      <c r="O245" s="6"/>
      <c r="P245" s="457">
        <f t="shared" si="74"/>
        <v>0</v>
      </c>
      <c r="Q245" s="1"/>
      <c r="R245" s="500">
        <f t="shared" si="75"/>
        <v>0</v>
      </c>
      <c r="S245" s="500"/>
      <c r="T245" s="500">
        <f>IF(B245&lt;=0,0,B245*IF('Simulador 7x5'!$Y$81=1,0,'Simulador 7x5'!$U$75))</f>
        <v>0</v>
      </c>
      <c r="U245" s="500"/>
      <c r="V245" s="513">
        <f>IF(B245&lt;=0,0,IF('Simulador 7x5'!$T$41=1,'Simulador 7x5'!$E$55,'Simulador 7x5'!$G$55))</f>
        <v>0</v>
      </c>
      <c r="W245" s="500"/>
      <c r="X245" s="500">
        <f t="shared" si="76"/>
        <v>0</v>
      </c>
      <c r="Y245" s="7"/>
      <c r="Z245" s="12"/>
      <c r="AA245" s="17"/>
      <c r="AB245" s="2">
        <f t="shared" si="77"/>
        <v>0</v>
      </c>
      <c r="AC245" s="21">
        <f t="shared" si="78"/>
        <v>0</v>
      </c>
      <c r="AD245" s="380">
        <f t="shared" si="79"/>
        <v>0</v>
      </c>
      <c r="AE245" s="380">
        <f t="shared" si="80"/>
        <v>0</v>
      </c>
      <c r="AF245" s="381">
        <f t="shared" si="81"/>
        <v>0</v>
      </c>
      <c r="AG245" s="380">
        <f t="shared" si="82"/>
        <v>0</v>
      </c>
      <c r="AH245" s="380">
        <f t="shared" si="83"/>
        <v>0</v>
      </c>
      <c r="AI245" s="380">
        <f>IF(AD245&lt;=0,0,AD245*IF('Simulador 7x5'!$Y$81=1,0,'Simulador 7x5'!$U$75))+IF(AD245&lt;=0,0,IF('Simulador 7x5'!$T$41=1,'Simulador 7x5'!$E$55,'Simulador 7x5'!$G$55))</f>
        <v>0</v>
      </c>
      <c r="AJ245" s="380">
        <f t="shared" si="84"/>
        <v>0</v>
      </c>
      <c r="AK245" s="109">
        <f t="shared" si="85"/>
        <v>0</v>
      </c>
      <c r="AM245" s="141">
        <v>19</v>
      </c>
      <c r="AN245" s="2">
        <v>0</v>
      </c>
      <c r="AO245" s="329">
        <f t="shared" si="86"/>
        <v>0</v>
      </c>
      <c r="AP245" s="329">
        <f t="shared" si="87"/>
        <v>0</v>
      </c>
      <c r="AQ245" s="20">
        <f t="shared" si="88"/>
        <v>0</v>
      </c>
      <c r="AR245" s="36"/>
      <c r="AS245">
        <f t="shared" si="89"/>
        <v>0</v>
      </c>
      <c r="AT245" s="384">
        <f t="shared" si="90"/>
      </c>
      <c r="AU245" s="385">
        <f t="shared" si="91"/>
        <v>0</v>
      </c>
      <c r="AV245" s="36">
        <v>120</v>
      </c>
    </row>
    <row r="246" spans="1:48" ht="12.75">
      <c r="A246" s="443">
        <f t="shared" si="92"/>
        <v>230</v>
      </c>
      <c r="B246" s="498">
        <f t="shared" si="69"/>
        <v>0</v>
      </c>
      <c r="C246" s="499"/>
      <c r="D246" s="498">
        <f t="shared" si="70"/>
        <v>0</v>
      </c>
      <c r="E246" s="500"/>
      <c r="F246" s="500">
        <f t="shared" si="71"/>
        <v>0</v>
      </c>
      <c r="G246" s="500"/>
      <c r="H246" s="500">
        <f t="shared" si="72"/>
        <v>0</v>
      </c>
      <c r="I246" s="501"/>
      <c r="J246" s="505">
        <f t="shared" si="73"/>
        <v>0</v>
      </c>
      <c r="K246" s="501"/>
      <c r="L246" s="502"/>
      <c r="M246" s="501"/>
      <c r="N246" s="500">
        <v>0</v>
      </c>
      <c r="O246" s="6"/>
      <c r="P246" s="457">
        <f t="shared" si="74"/>
        <v>0</v>
      </c>
      <c r="Q246" s="1"/>
      <c r="R246" s="500">
        <f t="shared" si="75"/>
        <v>0</v>
      </c>
      <c r="S246" s="500"/>
      <c r="T246" s="500">
        <f>IF(B246&lt;=0,0,B246*IF('Simulador 7x5'!$Y$81=1,0,'Simulador 7x5'!$U$75))</f>
        <v>0</v>
      </c>
      <c r="U246" s="500"/>
      <c r="V246" s="513">
        <f>IF(B246&lt;=0,0,IF('Simulador 7x5'!$T$41=1,'Simulador 7x5'!$E$55,'Simulador 7x5'!$G$55))</f>
        <v>0</v>
      </c>
      <c r="W246" s="500"/>
      <c r="X246" s="500">
        <f t="shared" si="76"/>
        <v>0</v>
      </c>
      <c r="Y246" s="7"/>
      <c r="Z246" s="12"/>
      <c r="AA246" s="17"/>
      <c r="AB246" s="2">
        <f t="shared" si="77"/>
        <v>0</v>
      </c>
      <c r="AC246" s="21">
        <f t="shared" si="78"/>
        <v>0</v>
      </c>
      <c r="AD246" s="380">
        <f t="shared" si="79"/>
        <v>0</v>
      </c>
      <c r="AE246" s="380">
        <f t="shared" si="80"/>
        <v>0</v>
      </c>
      <c r="AF246" s="381">
        <f t="shared" si="81"/>
        <v>0</v>
      </c>
      <c r="AG246" s="380">
        <f t="shared" si="82"/>
        <v>0</v>
      </c>
      <c r="AH246" s="380">
        <f t="shared" si="83"/>
        <v>0</v>
      </c>
      <c r="AI246" s="380">
        <f>IF(AD246&lt;=0,0,AD246*IF('Simulador 7x5'!$Y$81=1,0,'Simulador 7x5'!$U$75))+IF(AD246&lt;=0,0,IF('Simulador 7x5'!$T$41=1,'Simulador 7x5'!$E$55,'Simulador 7x5'!$G$55))</f>
        <v>0</v>
      </c>
      <c r="AJ246" s="380">
        <f t="shared" si="84"/>
        <v>0</v>
      </c>
      <c r="AK246" s="109">
        <f t="shared" si="85"/>
        <v>0</v>
      </c>
      <c r="AM246" s="141">
        <v>19</v>
      </c>
      <c r="AN246" s="2">
        <v>0</v>
      </c>
      <c r="AO246" s="329">
        <f t="shared" si="86"/>
        <v>0</v>
      </c>
      <c r="AP246" s="329">
        <f t="shared" si="87"/>
        <v>0</v>
      </c>
      <c r="AQ246" s="20">
        <f t="shared" si="88"/>
        <v>0</v>
      </c>
      <c r="AR246" s="36"/>
      <c r="AS246">
        <f t="shared" si="89"/>
        <v>0</v>
      </c>
      <c r="AT246" s="384">
        <f t="shared" si="90"/>
      </c>
      <c r="AU246" s="385">
        <f t="shared" si="91"/>
        <v>0</v>
      </c>
      <c r="AV246" s="36">
        <v>120</v>
      </c>
    </row>
    <row r="247" spans="1:48" ht="12.75">
      <c r="A247" s="443">
        <f t="shared" si="92"/>
        <v>231</v>
      </c>
      <c r="B247" s="498">
        <f t="shared" si="69"/>
        <v>0</v>
      </c>
      <c r="C247" s="499"/>
      <c r="D247" s="498">
        <f t="shared" si="70"/>
        <v>0</v>
      </c>
      <c r="E247" s="500"/>
      <c r="F247" s="500">
        <f t="shared" si="71"/>
        <v>0</v>
      </c>
      <c r="G247" s="500"/>
      <c r="H247" s="500">
        <f t="shared" si="72"/>
        <v>0</v>
      </c>
      <c r="I247" s="501"/>
      <c r="J247" s="505">
        <f t="shared" si="73"/>
        <v>0</v>
      </c>
      <c r="K247" s="501"/>
      <c r="L247" s="502"/>
      <c r="M247" s="501"/>
      <c r="N247" s="500">
        <v>0</v>
      </c>
      <c r="O247" s="6"/>
      <c r="P247" s="457">
        <f t="shared" si="74"/>
        <v>0</v>
      </c>
      <c r="Q247" s="1"/>
      <c r="R247" s="500">
        <f t="shared" si="75"/>
        <v>0</v>
      </c>
      <c r="S247" s="500"/>
      <c r="T247" s="500">
        <f>IF(B247&lt;=0,0,B247*IF('Simulador 7x5'!$Y$81=1,0,'Simulador 7x5'!$U$75))</f>
        <v>0</v>
      </c>
      <c r="U247" s="500"/>
      <c r="V247" s="513">
        <f>IF(B247&lt;=0,0,IF('Simulador 7x5'!$T$41=1,'Simulador 7x5'!$E$55,'Simulador 7x5'!$G$55))</f>
        <v>0</v>
      </c>
      <c r="W247" s="500"/>
      <c r="X247" s="500">
        <f t="shared" si="76"/>
        <v>0</v>
      </c>
      <c r="Y247" s="7"/>
      <c r="Z247" s="12"/>
      <c r="AA247" s="17"/>
      <c r="AB247" s="2">
        <f t="shared" si="77"/>
        <v>0</v>
      </c>
      <c r="AC247" s="21">
        <f t="shared" si="78"/>
        <v>0</v>
      </c>
      <c r="AD247" s="380">
        <f t="shared" si="79"/>
        <v>0</v>
      </c>
      <c r="AE247" s="380">
        <f t="shared" si="80"/>
        <v>0</v>
      </c>
      <c r="AF247" s="381">
        <f t="shared" si="81"/>
        <v>0</v>
      </c>
      <c r="AG247" s="380">
        <f t="shared" si="82"/>
        <v>0</v>
      </c>
      <c r="AH247" s="380">
        <f t="shared" si="83"/>
        <v>0</v>
      </c>
      <c r="AI247" s="380">
        <f>IF(AD247&lt;=0,0,AD247*IF('Simulador 7x5'!$Y$81=1,0,'Simulador 7x5'!$U$75))+IF(AD247&lt;=0,0,IF('Simulador 7x5'!$T$41=1,'Simulador 7x5'!$E$55,'Simulador 7x5'!$G$55))</f>
        <v>0</v>
      </c>
      <c r="AJ247" s="380">
        <f t="shared" si="84"/>
        <v>0</v>
      </c>
      <c r="AK247" s="109">
        <f t="shared" si="85"/>
        <v>0</v>
      </c>
      <c r="AM247" s="141">
        <v>19</v>
      </c>
      <c r="AN247" s="2">
        <v>0</v>
      </c>
      <c r="AO247" s="329">
        <f t="shared" si="86"/>
        <v>0</v>
      </c>
      <c r="AP247" s="329">
        <f t="shared" si="87"/>
        <v>0</v>
      </c>
      <c r="AQ247" s="20">
        <f t="shared" si="88"/>
        <v>0</v>
      </c>
      <c r="AR247" s="36"/>
      <c r="AS247">
        <f t="shared" si="89"/>
        <v>0</v>
      </c>
      <c r="AT247" s="384">
        <f t="shared" si="90"/>
      </c>
      <c r="AU247" s="385">
        <f t="shared" si="91"/>
        <v>0</v>
      </c>
      <c r="AV247" s="36">
        <v>120</v>
      </c>
    </row>
    <row r="248" spans="1:48" ht="12.75">
      <c r="A248" s="443">
        <f t="shared" si="92"/>
        <v>232</v>
      </c>
      <c r="B248" s="498">
        <f t="shared" si="69"/>
        <v>0</v>
      </c>
      <c r="C248" s="499"/>
      <c r="D248" s="498">
        <f t="shared" si="70"/>
        <v>0</v>
      </c>
      <c r="E248" s="500"/>
      <c r="F248" s="500">
        <f t="shared" si="71"/>
        <v>0</v>
      </c>
      <c r="G248" s="500"/>
      <c r="H248" s="500">
        <f t="shared" si="72"/>
        <v>0</v>
      </c>
      <c r="I248" s="501"/>
      <c r="J248" s="505">
        <f t="shared" si="73"/>
        <v>0</v>
      </c>
      <c r="K248" s="501"/>
      <c r="L248" s="502"/>
      <c r="M248" s="501"/>
      <c r="N248" s="500">
        <v>0</v>
      </c>
      <c r="O248" s="6"/>
      <c r="P248" s="457">
        <f t="shared" si="74"/>
        <v>0</v>
      </c>
      <c r="Q248" s="1"/>
      <c r="R248" s="500">
        <f t="shared" si="75"/>
        <v>0</v>
      </c>
      <c r="S248" s="500"/>
      <c r="T248" s="500">
        <f>IF(B248&lt;=0,0,B248*IF('Simulador 7x5'!$Y$81=1,0,'Simulador 7x5'!$U$75))</f>
        <v>0</v>
      </c>
      <c r="U248" s="500"/>
      <c r="V248" s="513">
        <f>IF(B248&lt;=0,0,IF('Simulador 7x5'!$T$41=1,'Simulador 7x5'!$E$55,'Simulador 7x5'!$G$55))</f>
        <v>0</v>
      </c>
      <c r="W248" s="500"/>
      <c r="X248" s="500">
        <f t="shared" si="76"/>
        <v>0</v>
      </c>
      <c r="Y248" s="7"/>
      <c r="Z248" s="12"/>
      <c r="AA248" s="17"/>
      <c r="AB248" s="2">
        <f t="shared" si="77"/>
        <v>0</v>
      </c>
      <c r="AC248" s="21">
        <f t="shared" si="78"/>
        <v>0</v>
      </c>
      <c r="AD248" s="380">
        <f t="shared" si="79"/>
        <v>0</v>
      </c>
      <c r="AE248" s="380">
        <f t="shared" si="80"/>
        <v>0</v>
      </c>
      <c r="AF248" s="381">
        <f t="shared" si="81"/>
        <v>0</v>
      </c>
      <c r="AG248" s="380">
        <f t="shared" si="82"/>
        <v>0</v>
      </c>
      <c r="AH248" s="380">
        <f t="shared" si="83"/>
        <v>0</v>
      </c>
      <c r="AI248" s="380">
        <f>IF(AD248&lt;=0,0,AD248*IF('Simulador 7x5'!$Y$81=1,0,'Simulador 7x5'!$U$75))+IF(AD248&lt;=0,0,IF('Simulador 7x5'!$T$41=1,'Simulador 7x5'!$E$55,'Simulador 7x5'!$G$55))</f>
        <v>0</v>
      </c>
      <c r="AJ248" s="380">
        <f t="shared" si="84"/>
        <v>0</v>
      </c>
      <c r="AK248" s="109">
        <f t="shared" si="85"/>
        <v>0</v>
      </c>
      <c r="AM248" s="141">
        <v>19</v>
      </c>
      <c r="AN248" s="2">
        <v>0</v>
      </c>
      <c r="AO248" s="329">
        <f t="shared" si="86"/>
        <v>0</v>
      </c>
      <c r="AP248" s="329">
        <f t="shared" si="87"/>
        <v>0</v>
      </c>
      <c r="AQ248" s="20">
        <f t="shared" si="88"/>
        <v>0</v>
      </c>
      <c r="AR248" s="36"/>
      <c r="AS248">
        <f t="shared" si="89"/>
        <v>0</v>
      </c>
      <c r="AT248" s="384">
        <f t="shared" si="90"/>
      </c>
      <c r="AU248" s="385">
        <f t="shared" si="91"/>
        <v>0</v>
      </c>
      <c r="AV248" s="36">
        <v>120</v>
      </c>
    </row>
    <row r="249" spans="1:48" ht="12.75">
      <c r="A249" s="443">
        <f t="shared" si="92"/>
        <v>233</v>
      </c>
      <c r="B249" s="498">
        <f t="shared" si="69"/>
        <v>0</v>
      </c>
      <c r="C249" s="499"/>
      <c r="D249" s="498">
        <f t="shared" si="70"/>
        <v>0</v>
      </c>
      <c r="E249" s="500"/>
      <c r="F249" s="500">
        <f t="shared" si="71"/>
        <v>0</v>
      </c>
      <c r="G249" s="500"/>
      <c r="H249" s="500">
        <f t="shared" si="72"/>
        <v>0</v>
      </c>
      <c r="I249" s="501"/>
      <c r="J249" s="505">
        <f t="shared" si="73"/>
        <v>0</v>
      </c>
      <c r="K249" s="501"/>
      <c r="L249" s="502"/>
      <c r="M249" s="501"/>
      <c r="N249" s="500">
        <v>0</v>
      </c>
      <c r="O249" s="6"/>
      <c r="P249" s="457">
        <f t="shared" si="74"/>
        <v>0</v>
      </c>
      <c r="Q249" s="1"/>
      <c r="R249" s="500">
        <f t="shared" si="75"/>
        <v>0</v>
      </c>
      <c r="S249" s="500"/>
      <c r="T249" s="500">
        <f>IF(B249&lt;=0,0,B249*IF('Simulador 7x5'!$Y$81=1,0,'Simulador 7x5'!$U$75))</f>
        <v>0</v>
      </c>
      <c r="U249" s="500"/>
      <c r="V249" s="513">
        <f>IF(B249&lt;=0,0,IF('Simulador 7x5'!$T$41=1,'Simulador 7x5'!$E$55,'Simulador 7x5'!$G$55))</f>
        <v>0</v>
      </c>
      <c r="W249" s="500"/>
      <c r="X249" s="500">
        <f t="shared" si="76"/>
        <v>0</v>
      </c>
      <c r="Y249" s="7"/>
      <c r="Z249" s="12"/>
      <c r="AA249" s="17"/>
      <c r="AB249" s="2">
        <f t="shared" si="77"/>
        <v>0</v>
      </c>
      <c r="AC249" s="21">
        <f t="shared" si="78"/>
        <v>0</v>
      </c>
      <c r="AD249" s="380">
        <f t="shared" si="79"/>
        <v>0</v>
      </c>
      <c r="AE249" s="380">
        <f t="shared" si="80"/>
        <v>0</v>
      </c>
      <c r="AF249" s="381">
        <f t="shared" si="81"/>
        <v>0</v>
      </c>
      <c r="AG249" s="380">
        <f t="shared" si="82"/>
        <v>0</v>
      </c>
      <c r="AH249" s="380">
        <f t="shared" si="83"/>
        <v>0</v>
      </c>
      <c r="AI249" s="380">
        <f>IF(AD249&lt;=0,0,AD249*IF('Simulador 7x5'!$Y$81=1,0,'Simulador 7x5'!$U$75))+IF(AD249&lt;=0,0,IF('Simulador 7x5'!$T$41=1,'Simulador 7x5'!$E$55,'Simulador 7x5'!$G$55))</f>
        <v>0</v>
      </c>
      <c r="AJ249" s="380">
        <f t="shared" si="84"/>
        <v>0</v>
      </c>
      <c r="AK249" s="109">
        <f t="shared" si="85"/>
        <v>0</v>
      </c>
      <c r="AM249" s="141">
        <v>19</v>
      </c>
      <c r="AN249" s="2">
        <v>0</v>
      </c>
      <c r="AO249" s="329">
        <f t="shared" si="86"/>
        <v>0</v>
      </c>
      <c r="AP249" s="329">
        <f t="shared" si="87"/>
        <v>0</v>
      </c>
      <c r="AQ249" s="20">
        <f t="shared" si="88"/>
        <v>0</v>
      </c>
      <c r="AR249" s="36"/>
      <c r="AS249">
        <f t="shared" si="89"/>
        <v>0</v>
      </c>
      <c r="AT249" s="384">
        <f t="shared" si="90"/>
      </c>
      <c r="AU249" s="385">
        <f t="shared" si="91"/>
        <v>0</v>
      </c>
      <c r="AV249" s="36">
        <v>120</v>
      </c>
    </row>
    <row r="250" spans="1:48" ht="12.75">
      <c r="A250" s="443">
        <f t="shared" si="92"/>
        <v>234</v>
      </c>
      <c r="B250" s="498">
        <f t="shared" si="69"/>
        <v>0</v>
      </c>
      <c r="C250" s="499"/>
      <c r="D250" s="498">
        <f t="shared" si="70"/>
        <v>0</v>
      </c>
      <c r="E250" s="500"/>
      <c r="F250" s="500">
        <f t="shared" si="71"/>
        <v>0</v>
      </c>
      <c r="G250" s="500"/>
      <c r="H250" s="500">
        <f t="shared" si="72"/>
        <v>0</v>
      </c>
      <c r="I250" s="501"/>
      <c r="J250" s="505">
        <f t="shared" si="73"/>
        <v>0</v>
      </c>
      <c r="K250" s="501"/>
      <c r="L250" s="502"/>
      <c r="M250" s="501"/>
      <c r="N250" s="500">
        <v>0</v>
      </c>
      <c r="O250" s="6"/>
      <c r="P250" s="457">
        <f t="shared" si="74"/>
        <v>0</v>
      </c>
      <c r="Q250" s="1"/>
      <c r="R250" s="500">
        <f t="shared" si="75"/>
        <v>0</v>
      </c>
      <c r="S250" s="500"/>
      <c r="T250" s="500">
        <f>IF(B250&lt;=0,0,B250*IF('Simulador 7x5'!$Y$81=1,0,'Simulador 7x5'!$U$75))</f>
        <v>0</v>
      </c>
      <c r="U250" s="500"/>
      <c r="V250" s="513">
        <f>IF(B250&lt;=0,0,IF('Simulador 7x5'!$T$41=1,'Simulador 7x5'!$E$55,'Simulador 7x5'!$G$55))</f>
        <v>0</v>
      </c>
      <c r="W250" s="500"/>
      <c r="X250" s="500">
        <f t="shared" si="76"/>
        <v>0</v>
      </c>
      <c r="Y250" s="7"/>
      <c r="Z250" s="12"/>
      <c r="AA250" s="17"/>
      <c r="AB250" s="2">
        <f t="shared" si="77"/>
        <v>0</v>
      </c>
      <c r="AC250" s="21">
        <f t="shared" si="78"/>
        <v>0</v>
      </c>
      <c r="AD250" s="380">
        <f t="shared" si="79"/>
        <v>0</v>
      </c>
      <c r="AE250" s="380">
        <f t="shared" si="80"/>
        <v>0</v>
      </c>
      <c r="AF250" s="381">
        <f t="shared" si="81"/>
        <v>0</v>
      </c>
      <c r="AG250" s="380">
        <f t="shared" si="82"/>
        <v>0</v>
      </c>
      <c r="AH250" s="380">
        <f t="shared" si="83"/>
        <v>0</v>
      </c>
      <c r="AI250" s="380">
        <f>IF(AD250&lt;=0,0,AD250*IF('Simulador 7x5'!$Y$81=1,0,'Simulador 7x5'!$U$75))+IF(AD250&lt;=0,0,IF('Simulador 7x5'!$T$41=1,'Simulador 7x5'!$E$55,'Simulador 7x5'!$G$55))</f>
        <v>0</v>
      </c>
      <c r="AJ250" s="380">
        <f t="shared" si="84"/>
        <v>0</v>
      </c>
      <c r="AK250" s="109">
        <f t="shared" si="85"/>
        <v>0</v>
      </c>
      <c r="AM250" s="141">
        <v>19</v>
      </c>
      <c r="AN250" s="2">
        <v>0</v>
      </c>
      <c r="AO250" s="329">
        <f t="shared" si="86"/>
        <v>0</v>
      </c>
      <c r="AP250" s="329">
        <f t="shared" si="87"/>
        <v>0</v>
      </c>
      <c r="AQ250" s="20">
        <f t="shared" si="88"/>
        <v>0</v>
      </c>
      <c r="AR250" s="36"/>
      <c r="AS250">
        <f t="shared" si="89"/>
        <v>0</v>
      </c>
      <c r="AT250" s="384">
        <f t="shared" si="90"/>
      </c>
      <c r="AU250" s="385">
        <f t="shared" si="91"/>
        <v>0</v>
      </c>
      <c r="AV250" s="36">
        <v>120</v>
      </c>
    </row>
    <row r="251" spans="1:48" ht="12.75">
      <c r="A251" s="443">
        <f t="shared" si="92"/>
        <v>235</v>
      </c>
      <c r="B251" s="498">
        <f t="shared" si="69"/>
        <v>0</v>
      </c>
      <c r="C251" s="499"/>
      <c r="D251" s="498">
        <f t="shared" si="70"/>
        <v>0</v>
      </c>
      <c r="E251" s="500"/>
      <c r="F251" s="500">
        <f t="shared" si="71"/>
        <v>0</v>
      </c>
      <c r="G251" s="500"/>
      <c r="H251" s="500">
        <f t="shared" si="72"/>
        <v>0</v>
      </c>
      <c r="I251" s="501"/>
      <c r="J251" s="505">
        <f t="shared" si="73"/>
        <v>0</v>
      </c>
      <c r="K251" s="501"/>
      <c r="L251" s="502"/>
      <c r="M251" s="501"/>
      <c r="N251" s="500">
        <v>0</v>
      </c>
      <c r="O251" s="6"/>
      <c r="P251" s="457">
        <f t="shared" si="74"/>
        <v>0</v>
      </c>
      <c r="Q251" s="1"/>
      <c r="R251" s="500">
        <f t="shared" si="75"/>
        <v>0</v>
      </c>
      <c r="S251" s="500"/>
      <c r="T251" s="500">
        <f>IF(B251&lt;=0,0,B251*IF('Simulador 7x5'!$Y$81=1,0,'Simulador 7x5'!$U$75))</f>
        <v>0</v>
      </c>
      <c r="U251" s="500"/>
      <c r="V251" s="513">
        <f>IF(B251&lt;=0,0,IF('Simulador 7x5'!$T$41=1,'Simulador 7x5'!$E$55,'Simulador 7x5'!$G$55))</f>
        <v>0</v>
      </c>
      <c r="W251" s="500"/>
      <c r="X251" s="500">
        <f t="shared" si="76"/>
        <v>0</v>
      </c>
      <c r="Y251" s="7"/>
      <c r="Z251" s="12"/>
      <c r="AA251" s="17"/>
      <c r="AB251" s="2">
        <f t="shared" si="77"/>
        <v>0</v>
      </c>
      <c r="AC251" s="21">
        <f t="shared" si="78"/>
        <v>0</v>
      </c>
      <c r="AD251" s="380">
        <f t="shared" si="79"/>
        <v>0</v>
      </c>
      <c r="AE251" s="380">
        <f t="shared" si="80"/>
        <v>0</v>
      </c>
      <c r="AF251" s="381">
        <f t="shared" si="81"/>
        <v>0</v>
      </c>
      <c r="AG251" s="380">
        <f t="shared" si="82"/>
        <v>0</v>
      </c>
      <c r="AH251" s="380">
        <f t="shared" si="83"/>
        <v>0</v>
      </c>
      <c r="AI251" s="380">
        <f>IF(AD251&lt;=0,0,AD251*IF('Simulador 7x5'!$Y$81=1,0,'Simulador 7x5'!$U$75))+IF(AD251&lt;=0,0,IF('Simulador 7x5'!$T$41=1,'Simulador 7x5'!$E$55,'Simulador 7x5'!$G$55))</f>
        <v>0</v>
      </c>
      <c r="AJ251" s="380">
        <f t="shared" si="84"/>
        <v>0</v>
      </c>
      <c r="AK251" s="109">
        <f t="shared" si="85"/>
        <v>0</v>
      </c>
      <c r="AM251" s="141">
        <v>19</v>
      </c>
      <c r="AN251" s="2">
        <v>0</v>
      </c>
      <c r="AO251" s="329">
        <f t="shared" si="86"/>
        <v>0</v>
      </c>
      <c r="AP251" s="329">
        <f t="shared" si="87"/>
        <v>0</v>
      </c>
      <c r="AQ251" s="20">
        <f t="shared" si="88"/>
        <v>0</v>
      </c>
      <c r="AR251" s="36"/>
      <c r="AS251">
        <f t="shared" si="89"/>
        <v>0</v>
      </c>
      <c r="AT251" s="384">
        <f t="shared" si="90"/>
      </c>
      <c r="AU251" s="385">
        <f t="shared" si="91"/>
        <v>0</v>
      </c>
      <c r="AV251" s="36">
        <v>120</v>
      </c>
    </row>
    <row r="252" spans="1:48" ht="12.75">
      <c r="A252" s="443">
        <f t="shared" si="92"/>
        <v>236</v>
      </c>
      <c r="B252" s="498">
        <f t="shared" si="69"/>
        <v>0</v>
      </c>
      <c r="C252" s="499"/>
      <c r="D252" s="498">
        <f t="shared" si="70"/>
        <v>0</v>
      </c>
      <c r="E252" s="500"/>
      <c r="F252" s="500">
        <f t="shared" si="71"/>
        <v>0</v>
      </c>
      <c r="G252" s="500"/>
      <c r="H252" s="500">
        <f t="shared" si="72"/>
        <v>0</v>
      </c>
      <c r="I252" s="501"/>
      <c r="J252" s="505">
        <f t="shared" si="73"/>
        <v>0</v>
      </c>
      <c r="K252" s="501"/>
      <c r="L252" s="502"/>
      <c r="M252" s="501"/>
      <c r="N252" s="500">
        <v>0</v>
      </c>
      <c r="O252" s="6"/>
      <c r="P252" s="457">
        <f t="shared" si="74"/>
        <v>0</v>
      </c>
      <c r="Q252" s="1"/>
      <c r="R252" s="500">
        <f t="shared" si="75"/>
        <v>0</v>
      </c>
      <c r="S252" s="500"/>
      <c r="T252" s="500">
        <f>IF(B252&lt;=0,0,B252*IF('Simulador 7x5'!$Y$81=1,0,'Simulador 7x5'!$U$75))</f>
        <v>0</v>
      </c>
      <c r="U252" s="500"/>
      <c r="V252" s="513">
        <f>IF(B252&lt;=0,0,IF('Simulador 7x5'!$T$41=1,'Simulador 7x5'!$E$55,'Simulador 7x5'!$G$55))</f>
        <v>0</v>
      </c>
      <c r="W252" s="500"/>
      <c r="X252" s="500">
        <f t="shared" si="76"/>
        <v>0</v>
      </c>
      <c r="Y252" s="7"/>
      <c r="Z252" s="12"/>
      <c r="AA252" s="17"/>
      <c r="AB252" s="2">
        <f t="shared" si="77"/>
        <v>0</v>
      </c>
      <c r="AC252" s="21">
        <f t="shared" si="78"/>
        <v>0</v>
      </c>
      <c r="AD252" s="380">
        <f t="shared" si="79"/>
        <v>0</v>
      </c>
      <c r="AE252" s="380">
        <f t="shared" si="80"/>
        <v>0</v>
      </c>
      <c r="AF252" s="381">
        <f t="shared" si="81"/>
        <v>0</v>
      </c>
      <c r="AG252" s="380">
        <f t="shared" si="82"/>
        <v>0</v>
      </c>
      <c r="AH252" s="380">
        <f t="shared" si="83"/>
        <v>0</v>
      </c>
      <c r="AI252" s="380">
        <f>IF(AD252&lt;=0,0,AD252*IF('Simulador 7x5'!$Y$81=1,0,'Simulador 7x5'!$U$75))+IF(AD252&lt;=0,0,IF('Simulador 7x5'!$T$41=1,'Simulador 7x5'!$E$55,'Simulador 7x5'!$G$55))</f>
        <v>0</v>
      </c>
      <c r="AJ252" s="380">
        <f t="shared" si="84"/>
        <v>0</v>
      </c>
      <c r="AK252" s="109">
        <f t="shared" si="85"/>
        <v>0</v>
      </c>
      <c r="AM252" s="141">
        <v>19</v>
      </c>
      <c r="AN252" s="2">
        <v>0</v>
      </c>
      <c r="AO252" s="329">
        <f t="shared" si="86"/>
        <v>0</v>
      </c>
      <c r="AP252" s="329">
        <f t="shared" si="87"/>
        <v>0</v>
      </c>
      <c r="AQ252" s="20">
        <f t="shared" si="88"/>
        <v>0</v>
      </c>
      <c r="AR252" s="36"/>
      <c r="AS252">
        <f t="shared" si="89"/>
        <v>0</v>
      </c>
      <c r="AT252" s="384">
        <f t="shared" si="90"/>
      </c>
      <c r="AU252" s="385">
        <f t="shared" si="91"/>
        <v>0</v>
      </c>
      <c r="AV252" s="36">
        <v>120</v>
      </c>
    </row>
    <row r="253" spans="1:48" ht="12.75">
      <c r="A253" s="443">
        <f t="shared" si="92"/>
        <v>237</v>
      </c>
      <c r="B253" s="498">
        <f t="shared" si="69"/>
        <v>0</v>
      </c>
      <c r="C253" s="499"/>
      <c r="D253" s="498">
        <f t="shared" si="70"/>
        <v>0</v>
      </c>
      <c r="E253" s="500"/>
      <c r="F253" s="500">
        <f t="shared" si="71"/>
        <v>0</v>
      </c>
      <c r="G253" s="500"/>
      <c r="H253" s="500">
        <f t="shared" si="72"/>
        <v>0</v>
      </c>
      <c r="I253" s="501"/>
      <c r="J253" s="505">
        <f t="shared" si="73"/>
        <v>0</v>
      </c>
      <c r="K253" s="501"/>
      <c r="L253" s="502"/>
      <c r="M253" s="501"/>
      <c r="N253" s="500">
        <v>0</v>
      </c>
      <c r="O253" s="6"/>
      <c r="P253" s="457">
        <f t="shared" si="74"/>
        <v>0</v>
      </c>
      <c r="Q253" s="1"/>
      <c r="R253" s="500">
        <f t="shared" si="75"/>
        <v>0</v>
      </c>
      <c r="S253" s="500"/>
      <c r="T253" s="500">
        <f>IF(B253&lt;=0,0,B253*IF('Simulador 7x5'!$Y$81=1,0,'Simulador 7x5'!$U$75))</f>
        <v>0</v>
      </c>
      <c r="U253" s="500"/>
      <c r="V253" s="513">
        <f>IF(B253&lt;=0,0,IF('Simulador 7x5'!$T$41=1,'Simulador 7x5'!$E$55,'Simulador 7x5'!$G$55))</f>
        <v>0</v>
      </c>
      <c r="W253" s="500"/>
      <c r="X253" s="500">
        <f t="shared" si="76"/>
        <v>0</v>
      </c>
      <c r="Y253" s="7"/>
      <c r="Z253" s="12"/>
      <c r="AA253" s="17"/>
      <c r="AB253" s="2">
        <f t="shared" si="77"/>
        <v>0</v>
      </c>
      <c r="AC253" s="21">
        <f t="shared" si="78"/>
        <v>0</v>
      </c>
      <c r="AD253" s="380">
        <f t="shared" si="79"/>
        <v>0</v>
      </c>
      <c r="AE253" s="380">
        <f t="shared" si="80"/>
        <v>0</v>
      </c>
      <c r="AF253" s="381">
        <f t="shared" si="81"/>
        <v>0</v>
      </c>
      <c r="AG253" s="380">
        <f t="shared" si="82"/>
        <v>0</v>
      </c>
      <c r="AH253" s="380">
        <f t="shared" si="83"/>
        <v>0</v>
      </c>
      <c r="AI253" s="380">
        <f>IF(AD253&lt;=0,0,AD253*IF('Simulador 7x5'!$Y$81=1,0,'Simulador 7x5'!$U$75))+IF(AD253&lt;=0,0,IF('Simulador 7x5'!$T$41=1,'Simulador 7x5'!$E$55,'Simulador 7x5'!$G$55))</f>
        <v>0</v>
      </c>
      <c r="AJ253" s="380">
        <f t="shared" si="84"/>
        <v>0</v>
      </c>
      <c r="AK253" s="109">
        <f t="shared" si="85"/>
        <v>0</v>
      </c>
      <c r="AM253" s="141">
        <v>19</v>
      </c>
      <c r="AN253" s="2">
        <v>0</v>
      </c>
      <c r="AO253" s="329">
        <f t="shared" si="86"/>
        <v>0</v>
      </c>
      <c r="AP253" s="329">
        <f t="shared" si="87"/>
        <v>0</v>
      </c>
      <c r="AQ253" s="20">
        <f t="shared" si="88"/>
        <v>0</v>
      </c>
      <c r="AR253" s="36"/>
      <c r="AS253">
        <f t="shared" si="89"/>
        <v>0</v>
      </c>
      <c r="AT253" s="384">
        <f t="shared" si="90"/>
      </c>
      <c r="AU253" s="385">
        <f t="shared" si="91"/>
        <v>0</v>
      </c>
      <c r="AV253" s="36">
        <v>120</v>
      </c>
    </row>
    <row r="254" spans="1:48" ht="12.75">
      <c r="A254" s="443">
        <f t="shared" si="92"/>
        <v>238</v>
      </c>
      <c r="B254" s="498">
        <f t="shared" si="69"/>
        <v>0</v>
      </c>
      <c r="C254" s="499"/>
      <c r="D254" s="498">
        <f t="shared" si="70"/>
        <v>0</v>
      </c>
      <c r="E254" s="500"/>
      <c r="F254" s="500">
        <f t="shared" si="71"/>
        <v>0</v>
      </c>
      <c r="G254" s="500"/>
      <c r="H254" s="500">
        <f t="shared" si="72"/>
        <v>0</v>
      </c>
      <c r="I254" s="501"/>
      <c r="J254" s="505">
        <f t="shared" si="73"/>
        <v>0</v>
      </c>
      <c r="K254" s="501"/>
      <c r="L254" s="502"/>
      <c r="M254" s="501"/>
      <c r="N254" s="500">
        <v>0</v>
      </c>
      <c r="O254" s="6"/>
      <c r="P254" s="457">
        <f t="shared" si="74"/>
        <v>0</v>
      </c>
      <c r="Q254" s="1"/>
      <c r="R254" s="500">
        <f t="shared" si="75"/>
        <v>0</v>
      </c>
      <c r="S254" s="500"/>
      <c r="T254" s="500">
        <f>IF(B254&lt;=0,0,B254*IF('Simulador 7x5'!$Y$81=1,0,'Simulador 7x5'!$U$75))</f>
        <v>0</v>
      </c>
      <c r="U254" s="500"/>
      <c r="V254" s="513">
        <f>IF(B254&lt;=0,0,IF('Simulador 7x5'!$T$41=1,'Simulador 7x5'!$E$55,'Simulador 7x5'!$G$55))</f>
        <v>0</v>
      </c>
      <c r="W254" s="500"/>
      <c r="X254" s="500">
        <f t="shared" si="76"/>
        <v>0</v>
      </c>
      <c r="Y254" s="7"/>
      <c r="Z254" s="12"/>
      <c r="AA254" s="17"/>
      <c r="AB254" s="2">
        <f t="shared" si="77"/>
        <v>0</v>
      </c>
      <c r="AC254" s="21">
        <f t="shared" si="78"/>
        <v>0</v>
      </c>
      <c r="AD254" s="380">
        <f t="shared" si="79"/>
        <v>0</v>
      </c>
      <c r="AE254" s="380">
        <f t="shared" si="80"/>
        <v>0</v>
      </c>
      <c r="AF254" s="381">
        <f t="shared" si="81"/>
        <v>0</v>
      </c>
      <c r="AG254" s="380">
        <f t="shared" si="82"/>
        <v>0</v>
      </c>
      <c r="AH254" s="380">
        <f t="shared" si="83"/>
        <v>0</v>
      </c>
      <c r="AI254" s="380">
        <f>IF(AD254&lt;=0,0,AD254*IF('Simulador 7x5'!$Y$81=1,0,'Simulador 7x5'!$U$75))+IF(AD254&lt;=0,0,IF('Simulador 7x5'!$T$41=1,'Simulador 7x5'!$E$55,'Simulador 7x5'!$G$55))</f>
        <v>0</v>
      </c>
      <c r="AJ254" s="380">
        <f t="shared" si="84"/>
        <v>0</v>
      </c>
      <c r="AK254" s="109">
        <f t="shared" si="85"/>
        <v>0</v>
      </c>
      <c r="AM254" s="141">
        <v>19</v>
      </c>
      <c r="AN254" s="2">
        <v>0</v>
      </c>
      <c r="AO254" s="329">
        <f t="shared" si="86"/>
        <v>0</v>
      </c>
      <c r="AP254" s="329">
        <f t="shared" si="87"/>
        <v>0</v>
      </c>
      <c r="AQ254" s="20">
        <f t="shared" si="88"/>
        <v>0</v>
      </c>
      <c r="AR254" s="36"/>
      <c r="AS254">
        <f t="shared" si="89"/>
        <v>0</v>
      </c>
      <c r="AT254" s="384">
        <f t="shared" si="90"/>
      </c>
      <c r="AU254" s="385">
        <f t="shared" si="91"/>
        <v>0</v>
      </c>
      <c r="AV254" s="36">
        <v>120</v>
      </c>
    </row>
    <row r="255" spans="1:48" ht="12.75">
      <c r="A255" s="443">
        <f t="shared" si="92"/>
        <v>239</v>
      </c>
      <c r="B255" s="498">
        <f t="shared" si="69"/>
        <v>0</v>
      </c>
      <c r="C255" s="499"/>
      <c r="D255" s="498">
        <f t="shared" si="70"/>
        <v>0</v>
      </c>
      <c r="E255" s="500"/>
      <c r="F255" s="500">
        <f t="shared" si="71"/>
        <v>0</v>
      </c>
      <c r="G255" s="500"/>
      <c r="H255" s="500">
        <f t="shared" si="72"/>
        <v>0</v>
      </c>
      <c r="I255" s="501"/>
      <c r="J255" s="505">
        <f t="shared" si="73"/>
        <v>0</v>
      </c>
      <c r="K255" s="501"/>
      <c r="L255" s="502"/>
      <c r="M255" s="501"/>
      <c r="N255" s="500">
        <v>0</v>
      </c>
      <c r="O255" s="6"/>
      <c r="P255" s="457">
        <f t="shared" si="74"/>
        <v>0</v>
      </c>
      <c r="Q255" s="1"/>
      <c r="R255" s="500">
        <f t="shared" si="75"/>
        <v>0</v>
      </c>
      <c r="S255" s="500"/>
      <c r="T255" s="500">
        <f>IF(B255&lt;=0,0,B255*IF('Simulador 7x5'!$Y$81=1,0,'Simulador 7x5'!$U$75))</f>
        <v>0</v>
      </c>
      <c r="U255" s="500"/>
      <c r="V255" s="513">
        <f>IF(B255&lt;=0,0,IF('Simulador 7x5'!$T$41=1,'Simulador 7x5'!$E$55,'Simulador 7x5'!$G$55))</f>
        <v>0</v>
      </c>
      <c r="W255" s="500"/>
      <c r="X255" s="500">
        <f t="shared" si="76"/>
        <v>0</v>
      </c>
      <c r="Y255" s="7"/>
      <c r="Z255" s="12"/>
      <c r="AA255" s="17"/>
      <c r="AB255" s="2">
        <f t="shared" si="77"/>
        <v>0</v>
      </c>
      <c r="AC255" s="21">
        <f t="shared" si="78"/>
        <v>0</v>
      </c>
      <c r="AD255" s="380">
        <f t="shared" si="79"/>
        <v>0</v>
      </c>
      <c r="AE255" s="380">
        <f t="shared" si="80"/>
        <v>0</v>
      </c>
      <c r="AF255" s="381">
        <f t="shared" si="81"/>
        <v>0</v>
      </c>
      <c r="AG255" s="380">
        <f t="shared" si="82"/>
        <v>0</v>
      </c>
      <c r="AH255" s="380">
        <f t="shared" si="83"/>
        <v>0</v>
      </c>
      <c r="AI255" s="380">
        <f>IF(AD255&lt;=0,0,AD255*IF('Simulador 7x5'!$Y$81=1,0,'Simulador 7x5'!$U$75))+IF(AD255&lt;=0,0,IF('Simulador 7x5'!$T$41=1,'Simulador 7x5'!$E$55,'Simulador 7x5'!$G$55))</f>
        <v>0</v>
      </c>
      <c r="AJ255" s="380">
        <f t="shared" si="84"/>
        <v>0</v>
      </c>
      <c r="AK255" s="109">
        <f t="shared" si="85"/>
        <v>0</v>
      </c>
      <c r="AM255" s="141">
        <v>19</v>
      </c>
      <c r="AN255" s="2">
        <v>0</v>
      </c>
      <c r="AO255" s="329">
        <f t="shared" si="86"/>
        <v>0</v>
      </c>
      <c r="AP255" s="329">
        <f t="shared" si="87"/>
        <v>0</v>
      </c>
      <c r="AQ255" s="20">
        <f t="shared" si="88"/>
        <v>0</v>
      </c>
      <c r="AR255" s="36"/>
      <c r="AS255">
        <f t="shared" si="89"/>
        <v>0</v>
      </c>
      <c r="AT255" s="384">
        <f t="shared" si="90"/>
      </c>
      <c r="AU255" s="385">
        <f t="shared" si="91"/>
        <v>0</v>
      </c>
      <c r="AV255" s="36">
        <v>120</v>
      </c>
    </row>
    <row r="256" spans="1:48" ht="13.5" thickBot="1">
      <c r="A256" s="443">
        <f t="shared" si="92"/>
        <v>240</v>
      </c>
      <c r="B256" s="498">
        <f t="shared" si="69"/>
        <v>0</v>
      </c>
      <c r="C256" s="499"/>
      <c r="D256" s="498">
        <f t="shared" si="70"/>
        <v>0</v>
      </c>
      <c r="E256" s="500"/>
      <c r="F256" s="500">
        <f t="shared" si="71"/>
        <v>0</v>
      </c>
      <c r="G256" s="500"/>
      <c r="H256" s="500">
        <f t="shared" si="72"/>
        <v>0</v>
      </c>
      <c r="I256" s="501"/>
      <c r="J256" s="505">
        <f t="shared" si="73"/>
        <v>0</v>
      </c>
      <c r="K256" s="501"/>
      <c r="L256" s="502"/>
      <c r="M256" s="501"/>
      <c r="N256" s="500">
        <v>0</v>
      </c>
      <c r="O256" s="6"/>
      <c r="P256" s="457">
        <f t="shared" si="74"/>
        <v>0</v>
      </c>
      <c r="Q256" s="1"/>
      <c r="R256" s="500">
        <f t="shared" si="75"/>
        <v>0</v>
      </c>
      <c r="S256" s="500"/>
      <c r="T256" s="500">
        <f>IF(B256&lt;=0,0,B256*IF('Simulador 7x5'!$Y$81=1,0,'Simulador 7x5'!$U$75))</f>
        <v>0</v>
      </c>
      <c r="U256" s="500"/>
      <c r="V256" s="513">
        <f>IF(B256&lt;=0,0,IF('Simulador 7x5'!$T$41=1,'Simulador 7x5'!$E$55,'Simulador 7x5'!$G$55))</f>
        <v>0</v>
      </c>
      <c r="W256" s="500"/>
      <c r="X256" s="500">
        <f t="shared" si="76"/>
        <v>0</v>
      </c>
      <c r="Y256" s="7"/>
      <c r="Z256" s="12"/>
      <c r="AA256" s="17"/>
      <c r="AB256" s="2">
        <f t="shared" si="77"/>
        <v>0</v>
      </c>
      <c r="AC256" s="21">
        <f t="shared" si="78"/>
        <v>0</v>
      </c>
      <c r="AD256" s="380">
        <f t="shared" si="79"/>
        <v>0</v>
      </c>
      <c r="AE256" s="380">
        <f t="shared" si="80"/>
        <v>0</v>
      </c>
      <c r="AF256" s="381">
        <f t="shared" si="81"/>
        <v>0</v>
      </c>
      <c r="AG256" s="380">
        <f t="shared" si="82"/>
        <v>0</v>
      </c>
      <c r="AH256" s="380">
        <f t="shared" si="83"/>
        <v>0</v>
      </c>
      <c r="AI256" s="380">
        <f>IF(AD256&lt;=0,0,AD256*IF('Simulador 7x5'!$Y$81=1,0,'Simulador 7x5'!$U$75))+IF(AD256&lt;=0,0,IF('Simulador 7x5'!$T$41=1,'Simulador 7x5'!$E$55,'Simulador 7x5'!$G$55))</f>
        <v>0</v>
      </c>
      <c r="AJ256" s="380">
        <f t="shared" si="84"/>
        <v>0</v>
      </c>
      <c r="AK256" s="109">
        <f t="shared" si="85"/>
        <v>0</v>
      </c>
      <c r="AM256" s="141">
        <v>20</v>
      </c>
      <c r="AN256" s="2">
        <v>0</v>
      </c>
      <c r="AO256" s="329">
        <f t="shared" si="86"/>
        <v>0</v>
      </c>
      <c r="AP256" s="329">
        <f>+IF(AO256&gt;0,+AM256,0)</f>
        <v>0</v>
      </c>
      <c r="AQ256" s="20">
        <f t="shared" si="88"/>
        <v>0</v>
      </c>
      <c r="AR256" s="36"/>
      <c r="AS256">
        <f t="shared" si="89"/>
        <v>0</v>
      </c>
      <c r="AT256" s="384">
        <f t="shared" si="90"/>
      </c>
      <c r="AU256" s="385">
        <f t="shared" si="91"/>
        <v>0</v>
      </c>
      <c r="AV256" s="36">
        <v>120</v>
      </c>
    </row>
    <row r="257" spans="1:37" ht="22.5" customHeight="1">
      <c r="A257" s="519"/>
      <c r="B257" s="520"/>
      <c r="C257" s="521"/>
      <c r="D257" s="522" t="s">
        <v>443</v>
      </c>
      <c r="E257" s="522"/>
      <c r="F257" s="522" t="s">
        <v>444</v>
      </c>
      <c r="G257" s="522"/>
      <c r="H257" s="522" t="s">
        <v>445</v>
      </c>
      <c r="I257" s="523"/>
      <c r="J257" s="522"/>
      <c r="K257" s="524"/>
      <c r="L257" s="522" t="s">
        <v>446</v>
      </c>
      <c r="M257" s="522"/>
      <c r="N257" s="522"/>
      <c r="O257" s="522"/>
      <c r="P257" s="522"/>
      <c r="Q257" s="524"/>
      <c r="R257" s="525"/>
      <c r="S257" s="525"/>
      <c r="T257" s="525" t="s">
        <v>447</v>
      </c>
      <c r="U257" s="525"/>
      <c r="V257" s="525" t="s">
        <v>448</v>
      </c>
      <c r="W257" s="525"/>
      <c r="X257" s="525" t="s">
        <v>449</v>
      </c>
      <c r="Y257" s="525"/>
      <c r="Z257" s="526"/>
      <c r="AA257" s="527"/>
      <c r="AD257" s="33"/>
      <c r="AE257" s="33"/>
      <c r="AH257" s="35"/>
      <c r="AI257" s="35"/>
      <c r="AJ257" s="35"/>
      <c r="AK257" s="109"/>
    </row>
    <row r="258" spans="1:27" ht="12.75" thickBot="1">
      <c r="A258" s="528"/>
      <c r="B258" s="529"/>
      <c r="C258" s="530"/>
      <c r="D258" s="531">
        <f>SUM(D17:D256)</f>
        <v>0</v>
      </c>
      <c r="E258" s="532"/>
      <c r="F258" s="531">
        <f>SUM(F17:F256)</f>
        <v>0</v>
      </c>
      <c r="G258" s="532"/>
      <c r="H258" s="531">
        <f>SUM(H17:H256)</f>
        <v>0</v>
      </c>
      <c r="I258" s="532"/>
      <c r="J258" s="531"/>
      <c r="K258" s="532"/>
      <c r="L258" s="531">
        <f>SUM(L17:L256)</f>
        <v>0</v>
      </c>
      <c r="M258" s="532"/>
      <c r="N258" s="531"/>
      <c r="O258" s="532"/>
      <c r="P258" s="532"/>
      <c r="Q258" s="532"/>
      <c r="R258" s="531"/>
      <c r="S258" s="532"/>
      <c r="T258" s="531">
        <f>SUM(T17:T256)</f>
        <v>0</v>
      </c>
      <c r="U258" s="532"/>
      <c r="V258" s="531">
        <f>SUM(V17:V256)</f>
        <v>0</v>
      </c>
      <c r="W258" s="532"/>
      <c r="X258" s="531">
        <f>SUM(X17:X256)</f>
        <v>0</v>
      </c>
      <c r="Y258" s="531"/>
      <c r="Z258" s="532"/>
      <c r="AA258" s="533"/>
    </row>
    <row r="260" ht="12">
      <c r="X260" s="110">
        <f>SUM(X17:X257)</f>
        <v>0</v>
      </c>
    </row>
    <row r="261" ht="12">
      <c r="R261" s="375"/>
    </row>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sheetData>
  <sheetProtection password="FBFD" sheet="1" objects="1" scenarios="1"/>
  <mergeCells count="6">
    <mergeCell ref="A1:AA1"/>
    <mergeCell ref="A3:AA3"/>
    <mergeCell ref="B6:F6"/>
    <mergeCell ref="X6:Z6"/>
    <mergeCell ref="A4:AA4"/>
    <mergeCell ref="A2:AA2"/>
  </mergeCells>
  <printOptions/>
  <pageMargins left="0.3937007874015748" right="0.3937007874015748" top="0.3937007874015748" bottom="0.3937007874015748" header="0" footer="0"/>
  <pageSetup fitToHeight="0" fitToWidth="1" horizontalDpi="600" verticalDpi="600" orientation="portrait" scale="54" r:id="rId3"/>
  <rowBreaks count="1" manualBreakCount="1">
    <brk id="76" max="26" man="1"/>
  </rowBreaks>
  <drawing r:id="rId2"/>
  <legacyDrawing r:id="rId1"/>
</worksheet>
</file>

<file path=xl/worksheets/sheet3.xml><?xml version="1.0" encoding="utf-8"?>
<worksheet xmlns="http://schemas.openxmlformats.org/spreadsheetml/2006/main" xmlns:r="http://schemas.openxmlformats.org/officeDocument/2006/relationships">
  <sheetPr codeName="Hoja4"/>
  <dimension ref="A1:R63"/>
  <sheetViews>
    <sheetView zoomScalePageLayoutView="0" workbookViewId="0" topLeftCell="A1">
      <selection activeCell="F19" sqref="F19"/>
    </sheetView>
  </sheetViews>
  <sheetFormatPr defaultColWidth="11.421875" defaultRowHeight="12.75"/>
  <cols>
    <col min="1" max="1" width="12.421875" style="20" bestFit="1" customWidth="1"/>
    <col min="2" max="6" width="11.421875" style="20" customWidth="1"/>
    <col min="7" max="7" width="12.421875" style="20" customWidth="1"/>
    <col min="8" max="8" width="11.57421875" style="20" customWidth="1"/>
    <col min="9" max="12" width="11.421875" style="20" customWidth="1"/>
    <col min="13" max="13" width="11.421875" style="33" customWidth="1"/>
    <col min="14" max="14" width="19.421875" style="33" hidden="1" customWidth="1"/>
    <col min="15" max="16" width="11.421875" style="33" hidden="1" customWidth="1"/>
    <col min="17" max="17" width="12.421875" style="33" hidden="1" customWidth="1"/>
    <col min="18" max="18" width="11.421875" style="33" hidden="1" customWidth="1"/>
    <col min="19" max="19" width="0" style="33" hidden="1" customWidth="1"/>
    <col min="20" max="16384" width="11.421875" style="33" customWidth="1"/>
  </cols>
  <sheetData>
    <row r="1" spans="1:4" ht="12">
      <c r="A1" s="20" t="s">
        <v>74</v>
      </c>
      <c r="D1" s="37" t="s">
        <v>75</v>
      </c>
    </row>
    <row r="2" spans="1:4" ht="12">
      <c r="A2" s="20" t="s">
        <v>76</v>
      </c>
      <c r="D2" s="37" t="s">
        <v>77</v>
      </c>
    </row>
    <row r="3" spans="1:8" ht="12">
      <c r="A3" s="20" t="s">
        <v>78</v>
      </c>
      <c r="D3" s="38" t="s">
        <v>79</v>
      </c>
      <c r="H3" s="33"/>
    </row>
    <row r="4" ht="12">
      <c r="A4" s="20" t="s">
        <v>80</v>
      </c>
    </row>
    <row r="5" spans="1:18" ht="12">
      <c r="A5" s="20" t="s">
        <v>81</v>
      </c>
      <c r="E5" s="39"/>
      <c r="F5" s="20" t="s">
        <v>82</v>
      </c>
      <c r="H5" s="33"/>
      <c r="N5" s="40" t="s">
        <v>83</v>
      </c>
      <c r="O5" s="33">
        <f>'Tabla 7x5'!B17</f>
        <v>0</v>
      </c>
      <c r="Q5" s="33" t="s">
        <v>84</v>
      </c>
      <c r="R5" s="33">
        <f>DAY(E5)</f>
        <v>0</v>
      </c>
    </row>
    <row r="6" spans="1:18" ht="12">
      <c r="A6" s="20" t="s">
        <v>85</v>
      </c>
      <c r="E6" s="41"/>
      <c r="N6" s="33" t="s">
        <v>86</v>
      </c>
      <c r="O6" s="42">
        <f>'Tabla 7x5'!P17</f>
        <v>0</v>
      </c>
      <c r="Q6" s="33" t="s">
        <v>87</v>
      </c>
      <c r="R6" s="33">
        <f>MONTH(E5)</f>
        <v>1</v>
      </c>
    </row>
    <row r="7" spans="5:18" ht="12">
      <c r="E7" s="43"/>
      <c r="N7" s="33" t="s">
        <v>88</v>
      </c>
      <c r="O7" s="44">
        <f>VALUE(CONCATENATE("17","-",R7,"-",R9))</f>
        <v>17</v>
      </c>
      <c r="Q7" s="33" t="s">
        <v>89</v>
      </c>
      <c r="R7" s="33">
        <f>IF(R5&lt;17,R6,IF(R6=12,1,R6+1))</f>
        <v>1</v>
      </c>
    </row>
    <row r="8" spans="14:18" ht="12">
      <c r="N8" s="33" t="s">
        <v>90</v>
      </c>
      <c r="O8" s="45">
        <f>O7-E5</f>
        <v>17</v>
      </c>
      <c r="Q8" s="33" t="s">
        <v>91</v>
      </c>
      <c r="R8" s="33">
        <f>YEAR(E5)</f>
        <v>1900</v>
      </c>
    </row>
    <row r="9" spans="14:18" ht="12">
      <c r="N9" s="33" t="s">
        <v>92</v>
      </c>
      <c r="O9" s="33">
        <f>ROUND($O$5*O6/360*$O$8,2)</f>
        <v>0</v>
      </c>
      <c r="Q9" s="33" t="s">
        <v>93</v>
      </c>
      <c r="R9" s="33">
        <f>IF(AND(R6=12,R5&gt;=17),R8+1,R8)</f>
        <v>1900</v>
      </c>
    </row>
    <row r="10" spans="1:15" ht="12.75">
      <c r="A10" s="46" t="s">
        <v>94</v>
      </c>
      <c r="N10" s="33" t="s">
        <v>95</v>
      </c>
      <c r="O10" s="47">
        <f>ROUND($O$5*E7/360*$O$8,2)</f>
        <v>0</v>
      </c>
    </row>
    <row r="11" spans="14:15" ht="12">
      <c r="N11" s="33" t="s">
        <v>96</v>
      </c>
      <c r="O11" s="48">
        <f>IF(R5=17,0,O9+O10)</f>
        <v>0</v>
      </c>
    </row>
    <row r="18" spans="7:8" ht="12">
      <c r="G18" s="548">
        <f>E5</f>
        <v>0</v>
      </c>
      <c r="H18" s="548"/>
    </row>
    <row r="21" ht="12">
      <c r="A21" s="20" t="s">
        <v>97</v>
      </c>
    </row>
    <row r="23" ht="12">
      <c r="A23" s="20" t="s">
        <v>121</v>
      </c>
    </row>
    <row r="24" ht="12">
      <c r="A24" s="20" t="s">
        <v>98</v>
      </c>
    </row>
    <row r="26" ht="12">
      <c r="A26" s="20" t="s">
        <v>99</v>
      </c>
    </row>
    <row r="28" ht="12">
      <c r="A28" s="20" t="str">
        <f>CONCATENATE("Su  número  de  crédito  es el No ",E6," que  le  servirá  como   referencia  para  cualquier  aclaración")</f>
        <v>Su  número  de  crédito  es el No  que  le  servirá  como   referencia  para  cualquier  aclaración</v>
      </c>
    </row>
    <row r="29" ht="12">
      <c r="A29" s="20" t="s">
        <v>100</v>
      </c>
    </row>
    <row r="30" ht="12">
      <c r="A30" s="20" t="s">
        <v>101</v>
      </c>
    </row>
    <row r="32" ht="12">
      <c r="A32" s="20" t="s">
        <v>102</v>
      </c>
    </row>
    <row r="33" ht="12">
      <c r="A33" s="20" t="s">
        <v>103</v>
      </c>
    </row>
    <row r="34" ht="12">
      <c r="A34" s="20" t="s">
        <v>104</v>
      </c>
    </row>
    <row r="36" ht="12">
      <c r="A36" s="20" t="s">
        <v>105</v>
      </c>
    </row>
    <row r="37" ht="12">
      <c r="A37" s="20" t="s">
        <v>106</v>
      </c>
    </row>
    <row r="39" ht="12">
      <c r="A39" s="20" t="s">
        <v>107</v>
      </c>
    </row>
    <row r="40" ht="12">
      <c r="A40" s="20" t="s">
        <v>108</v>
      </c>
    </row>
    <row r="41" ht="12">
      <c r="A41" s="20" t="s">
        <v>109</v>
      </c>
    </row>
    <row r="43" ht="12">
      <c r="A43" s="20" t="str">
        <f>IF(R5=17,"Su   primer   pago   deberá   ser   por   la   mensualidad   completa  que   se   establece  en  su  contrato","El  importe  de  su  primer  pago  será  por  la  cantidad  de  $"&amp;TEXT(O11,"#,##0.00")&amp;" que  corresponden a  los intereses")</f>
        <v>El  importe  de  su  primer  pago  será  por  la  cantidad  de  $0.00 que  corresponden a  los intereses</v>
      </c>
    </row>
    <row r="44" ht="12">
      <c r="A44" s="20" t="str">
        <f>IF(R5=17,"de crédito y que le será informada mediante su estado de cuenta.","que se devengarán entre hoy y el próximo día 17.")</f>
        <v>que se devengarán entre hoy y el próximo día 17.</v>
      </c>
    </row>
    <row r="45" ht="12">
      <c r="A45" s="20">
        <f>IF(AND(E7&gt;0,R5&lt;&gt;17),"Esta cantidad ya tiene incluida la parte proporcional de la prima de seguro de crédito a la vivienda","")</f>
      </c>
    </row>
    <row r="47" ht="12">
      <c r="A47" s="20" t="s">
        <v>110</v>
      </c>
    </row>
    <row r="48" ht="12">
      <c r="A48" s="20" t="s">
        <v>111</v>
      </c>
    </row>
    <row r="49" ht="12">
      <c r="A49" s="20" t="s">
        <v>112</v>
      </c>
    </row>
    <row r="51" ht="12">
      <c r="A51" s="20" t="s">
        <v>113</v>
      </c>
    </row>
    <row r="52" ht="12">
      <c r="A52" s="20" t="s">
        <v>114</v>
      </c>
    </row>
    <row r="53" ht="12">
      <c r="A53" s="20" t="s">
        <v>115</v>
      </c>
    </row>
    <row r="54" ht="12">
      <c r="A54" s="20" t="s">
        <v>116</v>
      </c>
    </row>
    <row r="56" ht="12">
      <c r="A56" s="20" t="s">
        <v>117</v>
      </c>
    </row>
    <row r="58" ht="12">
      <c r="A58" s="20" t="s">
        <v>118</v>
      </c>
    </row>
    <row r="62" ht="12">
      <c r="A62" s="20" t="s">
        <v>119</v>
      </c>
    </row>
    <row r="63" ht="12">
      <c r="A63" s="20" t="s">
        <v>120</v>
      </c>
    </row>
  </sheetData>
  <sheetProtection password="FBFD" sheet="1" objects="1" scenarios="1"/>
  <mergeCells count="1">
    <mergeCell ref="G18:H18"/>
  </mergeCells>
  <hyperlinks>
    <hyperlink ref="D1" r:id="rId1" display="Certificado de seguro de vida"/>
    <hyperlink ref="D2" r:id="rId2" display="Certificado de seguro de daños"/>
    <hyperlink ref="D3" r:id="rId3" display="Certificado de seguro obra civil"/>
  </hyperlinks>
  <printOptions/>
  <pageMargins left="0.65" right="0.49" top="1" bottom="1" header="0" footer="0"/>
  <pageSetup horizontalDpi="600" verticalDpi="600" orientation="portrait" r:id="rId6"/>
  <legacyDrawing r:id="rId5"/>
  <oleObjects>
    <oleObject progId="Word.Picture.8" shapeId="1776261" r:id="rId4"/>
  </oleObjects>
</worksheet>
</file>

<file path=xl/worksheets/sheet4.xml><?xml version="1.0" encoding="utf-8"?>
<worksheet xmlns="http://schemas.openxmlformats.org/spreadsheetml/2006/main" xmlns:r="http://schemas.openxmlformats.org/officeDocument/2006/relationships">
  <sheetPr codeName="Hoja5"/>
  <dimension ref="A1:L84"/>
  <sheetViews>
    <sheetView zoomScalePageLayoutView="0" workbookViewId="0" topLeftCell="A1">
      <selection activeCell="B12" sqref="B12"/>
    </sheetView>
  </sheetViews>
  <sheetFormatPr defaultColWidth="11.421875" defaultRowHeight="12.75"/>
  <cols>
    <col min="1" max="1" width="14.00390625" style="0" customWidth="1"/>
    <col min="2" max="2" width="13.421875" style="0" customWidth="1"/>
    <col min="3" max="3" width="13.00390625" style="0" customWidth="1"/>
    <col min="4" max="4" width="14.57421875" style="0" customWidth="1"/>
    <col min="5" max="5" width="14.421875" style="0" customWidth="1"/>
    <col min="6" max="6" width="16.140625" style="0" customWidth="1"/>
    <col min="7" max="7" width="18.421875" style="0" customWidth="1"/>
    <col min="9" max="13" width="0" style="0" hidden="1" customWidth="1"/>
  </cols>
  <sheetData>
    <row r="1" spans="1:7" ht="27" customHeight="1">
      <c r="A1" s="59"/>
      <c r="D1" s="549" t="s">
        <v>128</v>
      </c>
      <c r="E1" s="549"/>
      <c r="F1" s="549"/>
      <c r="G1" s="549"/>
    </row>
    <row r="2" spans="1:7" ht="61.5" customHeight="1">
      <c r="A2" s="550" t="s">
        <v>129</v>
      </c>
      <c r="B2" s="550"/>
      <c r="C2" s="550"/>
      <c r="D2" s="550"/>
      <c r="E2" s="550"/>
      <c r="F2" s="550"/>
      <c r="G2" s="550"/>
    </row>
    <row r="3" spans="1:7" ht="23.25" customHeight="1">
      <c r="A3" s="551" t="s">
        <v>130</v>
      </c>
      <c r="B3" s="551"/>
      <c r="C3" s="551"/>
      <c r="D3" s="551"/>
      <c r="E3" s="551"/>
      <c r="F3" s="551"/>
      <c r="G3" s="551"/>
    </row>
    <row r="4" spans="1:7" ht="19.5" customHeight="1">
      <c r="A4" s="552" t="s">
        <v>131</v>
      </c>
      <c r="B4" s="553"/>
      <c r="C4" s="553"/>
      <c r="D4" s="553"/>
      <c r="E4" s="553"/>
      <c r="F4" s="553"/>
      <c r="G4" s="553"/>
    </row>
    <row r="5" spans="1:7" ht="17.25" customHeight="1" thickBot="1">
      <c r="A5" s="554" t="e">
        <f>#REF!</f>
        <v>#REF!</v>
      </c>
      <c r="B5" s="555"/>
      <c r="C5" s="555"/>
      <c r="D5" s="555"/>
      <c r="E5" s="555"/>
      <c r="F5" s="555"/>
      <c r="G5" s="555"/>
    </row>
    <row r="6" spans="1:7" ht="12.75" thickBot="1">
      <c r="A6" s="60"/>
      <c r="B6" s="60"/>
      <c r="C6" s="60"/>
      <c r="D6" s="60"/>
      <c r="E6" s="60"/>
      <c r="F6" s="60"/>
      <c r="G6" s="60"/>
    </row>
    <row r="7" spans="1:7" ht="12.75" customHeight="1">
      <c r="A7" s="556" t="s">
        <v>132</v>
      </c>
      <c r="B7" s="558" t="s">
        <v>133</v>
      </c>
      <c r="C7" s="559"/>
      <c r="D7" s="562" t="s">
        <v>134</v>
      </c>
      <c r="E7" s="562" t="s">
        <v>135</v>
      </c>
      <c r="F7" s="558" t="s">
        <v>136</v>
      </c>
      <c r="G7" s="564"/>
    </row>
    <row r="8" spans="1:7" ht="6" customHeight="1">
      <c r="A8" s="557"/>
      <c r="B8" s="560"/>
      <c r="C8" s="561"/>
      <c r="D8" s="563"/>
      <c r="E8" s="563"/>
      <c r="F8" s="565"/>
      <c r="G8" s="566"/>
    </row>
    <row r="9" spans="1:7" ht="24.75" customHeight="1">
      <c r="A9" s="557"/>
      <c r="B9" s="560"/>
      <c r="C9" s="561"/>
      <c r="D9" s="563"/>
      <c r="E9" s="563"/>
      <c r="F9" s="64" t="s">
        <v>137</v>
      </c>
      <c r="G9" s="65" t="s">
        <v>138</v>
      </c>
    </row>
    <row r="10" spans="1:7" ht="12">
      <c r="A10" s="66"/>
      <c r="B10" s="565"/>
      <c r="C10" s="573"/>
      <c r="D10" s="67"/>
      <c r="E10" s="67"/>
      <c r="F10" s="67"/>
      <c r="G10" s="68"/>
    </row>
    <row r="11" spans="1:7" s="75" customFormat="1" ht="26.25" customHeight="1">
      <c r="A11" s="69">
        <f>'Tabla 7x5'!P13</f>
        <v>0</v>
      </c>
      <c r="B11" s="70" t="s">
        <v>139</v>
      </c>
      <c r="C11" s="71" t="s">
        <v>140</v>
      </c>
      <c r="D11" s="72">
        <f>'Tabla 7x5'!H9</f>
        <v>0</v>
      </c>
      <c r="E11" s="73" t="s">
        <v>141</v>
      </c>
      <c r="F11" s="64" t="s">
        <v>142</v>
      </c>
      <c r="G11" s="74" t="s">
        <v>298</v>
      </c>
    </row>
    <row r="12" spans="1:7" ht="25.5" customHeight="1">
      <c r="A12" s="574" t="s">
        <v>297</v>
      </c>
      <c r="B12" s="76" t="e">
        <f>#REF!</f>
        <v>#REF!</v>
      </c>
      <c r="C12" s="77" t="e">
        <f>B12*1.5</f>
        <v>#REF!</v>
      </c>
      <c r="D12" s="567" t="s">
        <v>143</v>
      </c>
      <c r="E12" s="78">
        <f>'Tabla 7x5'!X260</f>
        <v>0</v>
      </c>
      <c r="F12" s="78" t="e">
        <f>IF(#REF!=1,'Tabla 7x5'!AL3,0)</f>
        <v>#REF!</v>
      </c>
      <c r="G12" s="79"/>
    </row>
    <row r="13" spans="1:7" ht="27" customHeight="1">
      <c r="A13" s="574"/>
      <c r="B13" s="576"/>
      <c r="C13" s="577"/>
      <c r="D13" s="567"/>
      <c r="E13" s="567" t="s">
        <v>144</v>
      </c>
      <c r="F13" s="63" t="s">
        <v>145</v>
      </c>
      <c r="G13" s="79" t="s">
        <v>299</v>
      </c>
    </row>
    <row r="14" spans="1:7" ht="35.25" customHeight="1">
      <c r="A14" s="574"/>
      <c r="B14" s="76"/>
      <c r="C14" s="80"/>
      <c r="D14" s="567"/>
      <c r="E14" s="567"/>
      <c r="F14" s="81" t="e">
        <f>IF(#REF!=1,0,3%)</f>
        <v>#REF!</v>
      </c>
      <c r="G14" s="79"/>
    </row>
    <row r="15" spans="1:7" ht="35.25" customHeight="1">
      <c r="A15" s="574"/>
      <c r="B15" s="569" t="s">
        <v>146</v>
      </c>
      <c r="C15" s="570"/>
      <c r="D15" s="567"/>
      <c r="E15" s="567"/>
      <c r="F15" s="63" t="s">
        <v>147</v>
      </c>
      <c r="G15" s="82"/>
    </row>
    <row r="16" spans="1:7" ht="12" customHeight="1" thickBot="1">
      <c r="A16" s="575"/>
      <c r="B16" s="83"/>
      <c r="C16" s="84"/>
      <c r="D16" s="568"/>
      <c r="E16" s="568"/>
      <c r="F16" s="135">
        <v>350</v>
      </c>
      <c r="G16" s="85"/>
    </row>
    <row r="17" spans="1:3" ht="12">
      <c r="A17" s="571" t="s">
        <v>148</v>
      </c>
      <c r="B17" s="571"/>
      <c r="C17" s="571"/>
    </row>
    <row r="18" spans="1:7" ht="30" customHeight="1">
      <c r="A18" s="572" t="s">
        <v>149</v>
      </c>
      <c r="B18" s="572"/>
      <c r="C18" s="572"/>
      <c r="D18" s="572"/>
      <c r="E18" s="572"/>
      <c r="F18" s="572"/>
      <c r="G18" s="572"/>
    </row>
    <row r="19" ht="12">
      <c r="A19" s="86"/>
    </row>
    <row r="20" spans="1:7" ht="24.75" customHeight="1">
      <c r="A20" s="572" t="s">
        <v>150</v>
      </c>
      <c r="B20" s="572"/>
      <c r="C20" s="572"/>
      <c r="D20" s="572"/>
      <c r="E20" s="572"/>
      <c r="F20" s="572"/>
      <c r="G20" s="572"/>
    </row>
    <row r="21" ht="12.75" thickBot="1">
      <c r="A21" s="87"/>
    </row>
    <row r="22" spans="1:7" ht="18" customHeight="1">
      <c r="A22" s="583" t="s">
        <v>151</v>
      </c>
      <c r="B22" s="584"/>
      <c r="C22" s="584"/>
      <c r="D22" s="584"/>
      <c r="E22" s="584"/>
      <c r="F22" s="584"/>
      <c r="G22" s="585"/>
    </row>
    <row r="23" spans="1:7" ht="12">
      <c r="A23" s="586" t="s">
        <v>152</v>
      </c>
      <c r="B23" s="587"/>
      <c r="C23" s="587"/>
      <c r="D23" s="587"/>
      <c r="E23" s="587"/>
      <c r="F23" s="587"/>
      <c r="G23" s="588"/>
    </row>
    <row r="24" spans="1:7" ht="21" customHeight="1">
      <c r="A24" s="589" t="s">
        <v>153</v>
      </c>
      <c r="B24" s="590"/>
      <c r="C24" s="591" t="s">
        <v>56</v>
      </c>
      <c r="D24" s="590"/>
      <c r="E24" s="591" t="s">
        <v>154</v>
      </c>
      <c r="F24" s="592"/>
      <c r="G24" s="593"/>
    </row>
    <row r="25" spans="1:7" ht="12.75" customHeight="1">
      <c r="A25" s="578">
        <v>240</v>
      </c>
      <c r="B25" s="579"/>
      <c r="C25" s="597">
        <f>'Tabla 7x5'!X17</f>
        <v>0</v>
      </c>
      <c r="D25" s="598"/>
      <c r="E25" s="580" t="s">
        <v>155</v>
      </c>
      <c r="F25" s="581"/>
      <c r="G25" s="582"/>
    </row>
    <row r="26" spans="1:7" ht="21" customHeight="1">
      <c r="A26" s="578"/>
      <c r="B26" s="579"/>
      <c r="C26" s="580" t="s">
        <v>225</v>
      </c>
      <c r="D26" s="579"/>
      <c r="E26" s="580" t="s">
        <v>156</v>
      </c>
      <c r="F26" s="581"/>
      <c r="G26" s="582"/>
    </row>
    <row r="27" spans="1:7" ht="21.75" customHeight="1">
      <c r="A27" s="578"/>
      <c r="B27" s="579"/>
      <c r="C27" s="599"/>
      <c r="D27" s="600"/>
      <c r="E27" s="580" t="s">
        <v>157</v>
      </c>
      <c r="F27" s="581"/>
      <c r="G27" s="582"/>
    </row>
    <row r="28" spans="1:7" ht="12.75" thickBot="1">
      <c r="A28" s="578"/>
      <c r="B28" s="579"/>
      <c r="C28" s="580"/>
      <c r="D28" s="579"/>
      <c r="E28" s="580"/>
      <c r="F28" s="581"/>
      <c r="G28" s="88"/>
    </row>
    <row r="29" spans="1:7" ht="25.5" customHeight="1">
      <c r="A29" s="594" t="s">
        <v>158</v>
      </c>
      <c r="B29" s="595"/>
      <c r="C29" s="595"/>
      <c r="D29" s="595"/>
      <c r="E29" s="595"/>
      <c r="F29" s="595"/>
      <c r="G29" s="596"/>
    </row>
    <row r="30" spans="1:7" ht="23.25" customHeight="1">
      <c r="A30" s="601" t="s">
        <v>159</v>
      </c>
      <c r="B30" s="602"/>
      <c r="C30" s="602"/>
      <c r="D30" s="602"/>
      <c r="E30" s="602"/>
      <c r="F30" s="602"/>
      <c r="G30" s="603"/>
    </row>
    <row r="31" spans="1:7" ht="21" customHeight="1" thickBot="1">
      <c r="A31" s="604" t="s">
        <v>160</v>
      </c>
      <c r="B31" s="555"/>
      <c r="C31" s="555"/>
      <c r="D31" s="555"/>
      <c r="E31" s="555"/>
      <c r="F31" s="555"/>
      <c r="G31" s="605"/>
    </row>
    <row r="32" spans="1:7" ht="12.75" customHeight="1" thickBot="1">
      <c r="A32" s="606" t="s">
        <v>161</v>
      </c>
      <c r="B32" s="607"/>
      <c r="C32" s="607"/>
      <c r="D32" s="607"/>
      <c r="E32" s="607"/>
      <c r="F32" s="607"/>
      <c r="G32" s="607"/>
    </row>
    <row r="33" spans="1:7" ht="12">
      <c r="A33" s="608" t="s">
        <v>162</v>
      </c>
      <c r="B33" s="559"/>
      <c r="C33" s="558" t="s">
        <v>163</v>
      </c>
      <c r="D33" s="559"/>
      <c r="E33" s="558" t="s">
        <v>164</v>
      </c>
      <c r="F33" s="609"/>
      <c r="G33" s="564"/>
    </row>
    <row r="34" spans="1:7" ht="12">
      <c r="A34" s="601" t="s">
        <v>165</v>
      </c>
      <c r="B34" s="611"/>
      <c r="C34" s="610" t="s">
        <v>166</v>
      </c>
      <c r="D34" s="611"/>
      <c r="E34" s="576" t="s">
        <v>167</v>
      </c>
      <c r="F34" s="624"/>
      <c r="G34" s="625"/>
    </row>
    <row r="35" spans="1:7" ht="12">
      <c r="A35" s="601" t="s">
        <v>168</v>
      </c>
      <c r="B35" s="611"/>
      <c r="C35" s="610" t="s">
        <v>169</v>
      </c>
      <c r="D35" s="611"/>
      <c r="E35" s="90"/>
      <c r="F35" s="92"/>
      <c r="G35" s="88"/>
    </row>
    <row r="36" spans="1:7" ht="12">
      <c r="A36" s="93"/>
      <c r="B36" s="92"/>
      <c r="C36" s="610" t="s">
        <v>170</v>
      </c>
      <c r="D36" s="611"/>
      <c r="E36" s="90"/>
      <c r="F36" s="92"/>
      <c r="G36" s="88"/>
    </row>
    <row r="37" spans="1:7" ht="13.5" customHeight="1" thickBot="1">
      <c r="A37" s="94"/>
      <c r="B37" s="95"/>
      <c r="C37" s="612" t="s">
        <v>171</v>
      </c>
      <c r="D37" s="613"/>
      <c r="E37" s="96"/>
      <c r="F37" s="95"/>
      <c r="G37" s="97"/>
    </row>
    <row r="38" spans="1:7" ht="12.75" customHeight="1">
      <c r="A38" s="614" t="s">
        <v>300</v>
      </c>
      <c r="B38" s="571"/>
      <c r="C38" s="571"/>
      <c r="D38" s="571"/>
      <c r="E38" s="571"/>
      <c r="F38" s="571"/>
      <c r="G38" s="615"/>
    </row>
    <row r="39" spans="1:7" ht="7.5" customHeight="1" thickBot="1">
      <c r="A39" s="616"/>
      <c r="B39" s="553"/>
      <c r="C39" s="553"/>
      <c r="D39" s="553"/>
      <c r="E39" s="553"/>
      <c r="F39" s="553"/>
      <c r="G39" s="617"/>
    </row>
    <row r="40" spans="1:7" ht="13.5" customHeight="1" hidden="1" thickBot="1">
      <c r="A40" s="618"/>
      <c r="B40" s="619"/>
      <c r="C40" s="619"/>
      <c r="D40" s="619"/>
      <c r="E40" s="619"/>
      <c r="F40" s="619"/>
      <c r="G40" s="620"/>
    </row>
    <row r="41" spans="1:7" ht="32.25" customHeight="1" thickBot="1">
      <c r="A41" s="89" t="s">
        <v>172</v>
      </c>
      <c r="B41" s="621" t="s">
        <v>173</v>
      </c>
      <c r="C41" s="622"/>
      <c r="D41" s="623"/>
      <c r="E41" s="621" t="s">
        <v>174</v>
      </c>
      <c r="F41" s="622"/>
      <c r="G41" s="623"/>
    </row>
    <row r="42" spans="1:7" ht="14.25" customHeight="1">
      <c r="A42" s="98" t="s">
        <v>175</v>
      </c>
      <c r="B42" s="632" t="s">
        <v>176</v>
      </c>
      <c r="C42" s="633"/>
      <c r="D42" s="634"/>
      <c r="E42" s="99"/>
      <c r="F42" s="99"/>
      <c r="G42" s="100"/>
    </row>
    <row r="43" spans="1:7" ht="12">
      <c r="A43" s="98"/>
      <c r="B43" s="635"/>
      <c r="C43" s="636"/>
      <c r="D43" s="637"/>
      <c r="E43" s="576" t="s">
        <v>177</v>
      </c>
      <c r="F43" s="624"/>
      <c r="G43" s="625"/>
    </row>
    <row r="44" spans="1:7" ht="12.75" thickBot="1">
      <c r="A44" s="98"/>
      <c r="B44" s="635"/>
      <c r="C44" s="636"/>
      <c r="D44" s="637"/>
      <c r="E44" s="576" t="s">
        <v>178</v>
      </c>
      <c r="F44" s="624"/>
      <c r="G44" s="625"/>
    </row>
    <row r="45" spans="1:7" ht="12">
      <c r="A45" s="571" t="s">
        <v>179</v>
      </c>
      <c r="B45" s="571"/>
      <c r="C45" s="571"/>
      <c r="D45" s="571"/>
      <c r="E45" s="571"/>
      <c r="F45" s="571"/>
      <c r="G45" s="571"/>
    </row>
    <row r="46" spans="1:5" ht="12">
      <c r="A46" s="91"/>
      <c r="D46" t="s">
        <v>180</v>
      </c>
      <c r="E46" t="s">
        <v>181</v>
      </c>
    </row>
    <row r="47" spans="1:7" ht="24.75" customHeight="1">
      <c r="A47" s="626" t="s">
        <v>182</v>
      </c>
      <c r="B47" s="626"/>
      <c r="C47" s="626"/>
      <c r="D47" s="626"/>
      <c r="E47" s="626"/>
      <c r="F47" s="626"/>
      <c r="G47" s="626"/>
    </row>
    <row r="48" spans="1:7" ht="12">
      <c r="A48" s="627" t="s">
        <v>183</v>
      </c>
      <c r="B48" s="563" t="s">
        <v>163</v>
      </c>
      <c r="C48" s="560" t="s">
        <v>184</v>
      </c>
      <c r="D48" s="630"/>
      <c r="E48" s="630"/>
      <c r="F48" s="630"/>
      <c r="G48" s="630"/>
    </row>
    <row r="49" spans="1:7" ht="12">
      <c r="A49" s="628"/>
      <c r="B49" s="629"/>
      <c r="C49" s="565"/>
      <c r="D49" s="631"/>
      <c r="E49" s="631"/>
      <c r="F49" s="631"/>
      <c r="G49" s="631"/>
    </row>
    <row r="50" spans="1:7" ht="12">
      <c r="A50" s="647" t="s">
        <v>185</v>
      </c>
      <c r="B50" s="638" t="s">
        <v>186</v>
      </c>
      <c r="C50" s="650" t="s">
        <v>187</v>
      </c>
      <c r="D50" s="651"/>
      <c r="E50" s="651"/>
      <c r="F50" s="651"/>
      <c r="G50" s="651"/>
    </row>
    <row r="51" spans="1:7" ht="12">
      <c r="A51" s="648"/>
      <c r="B51" s="649"/>
      <c r="C51" s="652"/>
      <c r="D51" s="653"/>
      <c r="E51" s="653"/>
      <c r="F51" s="653"/>
      <c r="G51" s="653"/>
    </row>
    <row r="52" spans="1:7" ht="21" customHeight="1">
      <c r="A52" s="654" t="s">
        <v>301</v>
      </c>
      <c r="B52" s="655"/>
      <c r="C52" s="655"/>
      <c r="D52" s="655"/>
      <c r="E52" s="655"/>
      <c r="F52" s="655"/>
      <c r="G52" s="655"/>
    </row>
    <row r="53" spans="1:6" ht="12">
      <c r="A53" s="658" t="s">
        <v>188</v>
      </c>
      <c r="B53" s="602"/>
      <c r="C53" s="602"/>
      <c r="D53" s="602"/>
      <c r="E53" s="602"/>
      <c r="F53" s="602"/>
    </row>
    <row r="54" spans="1:6" ht="12.75" thickBot="1">
      <c r="A54" s="658" t="s">
        <v>189</v>
      </c>
      <c r="B54" s="602"/>
      <c r="C54" s="602"/>
      <c r="D54" s="602"/>
      <c r="E54" s="602"/>
      <c r="F54" s="602"/>
    </row>
    <row r="55" spans="1:7" ht="20.25">
      <c r="A55" s="61" t="s">
        <v>190</v>
      </c>
      <c r="B55" s="62" t="s">
        <v>191</v>
      </c>
      <c r="C55" s="62" t="s">
        <v>192</v>
      </c>
      <c r="D55" s="62" t="s">
        <v>193</v>
      </c>
      <c r="E55" s="62" t="s">
        <v>194</v>
      </c>
      <c r="F55" s="659" t="s">
        <v>195</v>
      </c>
      <c r="G55" s="660"/>
    </row>
    <row r="56" spans="1:7" ht="53.25" customHeight="1">
      <c r="A56" s="661" t="s">
        <v>196</v>
      </c>
      <c r="B56" s="641" t="s">
        <v>302</v>
      </c>
      <c r="C56" s="664" t="e">
        <f>#REF!</f>
        <v>#REF!</v>
      </c>
      <c r="D56" s="638" t="s">
        <v>197</v>
      </c>
      <c r="E56" s="641" t="s">
        <v>198</v>
      </c>
      <c r="F56" s="635" t="s">
        <v>199</v>
      </c>
      <c r="G56" s="644"/>
    </row>
    <row r="57" spans="1:7" ht="12">
      <c r="A57" s="662"/>
      <c r="B57" s="642"/>
      <c r="C57" s="665"/>
      <c r="D57" s="639"/>
      <c r="E57" s="642"/>
      <c r="F57" s="635"/>
      <c r="G57" s="644"/>
    </row>
    <row r="58" spans="1:7" ht="12">
      <c r="A58" s="662"/>
      <c r="B58" s="642"/>
      <c r="C58" s="665"/>
      <c r="D58" s="639"/>
      <c r="E58" s="642"/>
      <c r="F58" s="635"/>
      <c r="G58" s="644"/>
    </row>
    <row r="59" spans="1:7" ht="12">
      <c r="A59" s="662"/>
      <c r="B59" s="642"/>
      <c r="C59" s="665"/>
      <c r="D59" s="639"/>
      <c r="E59" s="642"/>
      <c r="F59" s="635"/>
      <c r="G59" s="644"/>
    </row>
    <row r="60" spans="1:7" ht="16.5" customHeight="1" thickBot="1">
      <c r="A60" s="663"/>
      <c r="B60" s="643"/>
      <c r="C60" s="666"/>
      <c r="D60" s="640"/>
      <c r="E60" s="643"/>
      <c r="F60" s="645"/>
      <c r="G60" s="646"/>
    </row>
    <row r="61" spans="1:9" ht="12.75" customHeight="1">
      <c r="A61" s="594" t="s">
        <v>303</v>
      </c>
      <c r="B61" s="595" t="e">
        <v>#REF!</v>
      </c>
      <c r="C61" s="595" t="e">
        <v>#REF!</v>
      </c>
      <c r="D61" s="595" t="e">
        <v>#REF!</v>
      </c>
      <c r="E61" s="595" t="e">
        <v>#REF!</v>
      </c>
      <c r="F61" s="595" t="e">
        <v>#REF!</v>
      </c>
      <c r="G61" s="596" t="e">
        <v>#REF!</v>
      </c>
      <c r="I61" s="20"/>
    </row>
    <row r="62" spans="1:7" ht="12.75" thickBot="1">
      <c r="A62" s="604" t="e">
        <v>#REF!</v>
      </c>
      <c r="B62" s="555" t="e">
        <v>#REF!</v>
      </c>
      <c r="C62" s="555" t="e">
        <v>#REF!</v>
      </c>
      <c r="D62" s="555" t="e">
        <v>#REF!</v>
      </c>
      <c r="E62" s="555" t="e">
        <v>#REF!</v>
      </c>
      <c r="F62" s="555" t="e">
        <v>#REF!</v>
      </c>
      <c r="G62" s="605" t="e">
        <v>#REF!</v>
      </c>
    </row>
    <row r="63" spans="1:7" ht="12.75" customHeight="1">
      <c r="A63" s="616" t="s">
        <v>200</v>
      </c>
      <c r="B63" s="553"/>
      <c r="C63" s="553"/>
      <c r="D63" s="553"/>
      <c r="E63" s="553"/>
      <c r="F63" s="553"/>
      <c r="G63" s="617"/>
    </row>
    <row r="64" spans="1:7" ht="36.75" customHeight="1">
      <c r="A64" s="601" t="s">
        <v>201</v>
      </c>
      <c r="B64" s="602"/>
      <c r="C64" s="602"/>
      <c r="D64" s="602"/>
      <c r="E64" s="602"/>
      <c r="F64" s="602"/>
      <c r="G64" s="603"/>
    </row>
    <row r="65" spans="1:7" ht="12">
      <c r="A65" s="656"/>
      <c r="B65" s="657"/>
      <c r="C65" s="657"/>
      <c r="D65" s="657"/>
      <c r="E65" s="657"/>
      <c r="F65" s="657"/>
      <c r="G65" s="88"/>
    </row>
    <row r="66" spans="1:7" ht="12.75" customHeight="1">
      <c r="A66" s="601" t="s">
        <v>202</v>
      </c>
      <c r="B66" s="602"/>
      <c r="C66" s="602"/>
      <c r="D66" s="602"/>
      <c r="E66" s="602"/>
      <c r="F66" s="602"/>
      <c r="G66" s="603"/>
    </row>
    <row r="67" spans="1:7" ht="12.75" customHeight="1">
      <c r="A67" s="601" t="s">
        <v>203</v>
      </c>
      <c r="B67" s="602"/>
      <c r="C67" s="602"/>
      <c r="D67" s="602"/>
      <c r="E67" s="602"/>
      <c r="F67" s="602"/>
      <c r="G67" s="603"/>
    </row>
    <row r="68" spans="1:7" ht="14.25" customHeight="1">
      <c r="A68" s="601" t="s">
        <v>304</v>
      </c>
      <c r="B68" s="602"/>
      <c r="C68" s="602"/>
      <c r="D68" s="602"/>
      <c r="E68" s="602"/>
      <c r="F68" s="602"/>
      <c r="G68" s="603"/>
    </row>
    <row r="69" spans="1:7" ht="12.75" customHeight="1">
      <c r="A69" s="601" t="s">
        <v>204</v>
      </c>
      <c r="B69" s="602"/>
      <c r="C69" s="602"/>
      <c r="D69" s="602"/>
      <c r="E69" s="602"/>
      <c r="F69" s="602"/>
      <c r="G69" s="603"/>
    </row>
    <row r="70" spans="1:7" ht="12.75" customHeight="1">
      <c r="A70" s="601" t="s">
        <v>205</v>
      </c>
      <c r="B70" s="602"/>
      <c r="C70" s="602"/>
      <c r="D70" s="602"/>
      <c r="E70" s="602"/>
      <c r="F70" s="602"/>
      <c r="G70" s="603"/>
    </row>
    <row r="71" spans="1:7" ht="13.5" customHeight="1" thickBot="1">
      <c r="A71" s="604" t="s">
        <v>206</v>
      </c>
      <c r="B71" s="555"/>
      <c r="C71" s="555"/>
      <c r="D71" s="555"/>
      <c r="E71" s="555"/>
      <c r="F71" s="555"/>
      <c r="G71" s="605"/>
    </row>
    <row r="72" spans="1:7" ht="12">
      <c r="A72" s="608" t="s">
        <v>207</v>
      </c>
      <c r="B72" s="609"/>
      <c r="C72" s="559"/>
      <c r="D72" s="659" t="s">
        <v>208</v>
      </c>
      <c r="E72" s="667"/>
      <c r="F72" s="667"/>
      <c r="G72" s="660"/>
    </row>
    <row r="73" spans="1:7" ht="12">
      <c r="A73" s="101" t="s">
        <v>209</v>
      </c>
      <c r="B73" s="674" t="s">
        <v>210</v>
      </c>
      <c r="C73" s="674"/>
      <c r="D73" s="675" t="s">
        <v>211</v>
      </c>
      <c r="E73" s="676"/>
      <c r="F73" s="676"/>
      <c r="G73" s="677"/>
    </row>
    <row r="74" spans="1:7" ht="32.25" customHeight="1">
      <c r="A74" s="101" t="s">
        <v>212</v>
      </c>
      <c r="B74" s="674" t="s">
        <v>213</v>
      </c>
      <c r="C74" s="674"/>
      <c r="D74" s="672" t="s">
        <v>214</v>
      </c>
      <c r="E74" s="602"/>
      <c r="F74" s="602"/>
      <c r="G74" s="603"/>
    </row>
    <row r="75" spans="1:7" ht="14.25" customHeight="1">
      <c r="A75" s="668" t="s">
        <v>215</v>
      </c>
      <c r="B75" s="670" t="s">
        <v>216</v>
      </c>
      <c r="C75" s="670"/>
      <c r="D75" s="672" t="s">
        <v>217</v>
      </c>
      <c r="E75" s="602"/>
      <c r="F75" s="602"/>
      <c r="G75" s="603"/>
    </row>
    <row r="76" spans="1:7" ht="12.75" thickBot="1">
      <c r="A76" s="669"/>
      <c r="B76" s="671"/>
      <c r="C76" s="671"/>
      <c r="D76" s="673" t="s">
        <v>218</v>
      </c>
      <c r="E76" s="555"/>
      <c r="F76" s="555"/>
      <c r="G76" s="605"/>
    </row>
    <row r="77" spans="1:4" ht="12">
      <c r="A77" s="102"/>
      <c r="B77" s="92"/>
      <c r="D77" s="103"/>
    </row>
    <row r="78" spans="1:7" ht="12.75" thickBot="1">
      <c r="A78" s="630" t="s">
        <v>219</v>
      </c>
      <c r="B78" s="630"/>
      <c r="C78" s="630"/>
      <c r="D78" s="630"/>
      <c r="E78" s="630"/>
      <c r="F78" s="630"/>
      <c r="G78" s="630"/>
    </row>
    <row r="79" spans="1:7" ht="17.25" customHeight="1" thickBot="1">
      <c r="A79" s="104" t="s">
        <v>220</v>
      </c>
      <c r="B79" s="105" t="e">
        <f>#REF!</f>
        <v>#REF!</v>
      </c>
      <c r="C79" s="678" t="s">
        <v>221</v>
      </c>
      <c r="D79" s="679"/>
      <c r="E79" s="680" t="e">
        <f>IF(#REF!=1,'Caratula de contrato'!I81,'Caratula de contrato'!I82)</f>
        <v>#REF!</v>
      </c>
      <c r="F79" s="680"/>
      <c r="G79" s="681"/>
    </row>
    <row r="80" spans="1:7" ht="30.75" customHeight="1">
      <c r="A80" s="572" t="s">
        <v>222</v>
      </c>
      <c r="B80" s="572"/>
      <c r="C80" s="572"/>
      <c r="D80" s="572"/>
      <c r="E80" s="572"/>
      <c r="F80" s="572"/>
      <c r="G80" s="572"/>
    </row>
    <row r="81" spans="1:12" ht="21.75" customHeight="1">
      <c r="A81" s="572" t="s">
        <v>223</v>
      </c>
      <c r="B81" s="572"/>
      <c r="E81" s="572" t="s">
        <v>223</v>
      </c>
      <c r="F81" s="572"/>
      <c r="I81" s="136" t="s">
        <v>305</v>
      </c>
      <c r="L81" s="137" t="s">
        <v>306</v>
      </c>
    </row>
    <row r="82" spans="1:12" ht="15">
      <c r="A82" s="86"/>
      <c r="I82" s="136" t="s">
        <v>307</v>
      </c>
      <c r="L82" s="137" t="s">
        <v>308</v>
      </c>
    </row>
    <row r="83" spans="1:6" ht="12">
      <c r="A83" s="106"/>
      <c r="B83" s="107"/>
      <c r="E83" s="106"/>
      <c r="F83" s="107"/>
    </row>
    <row r="84" spans="1:6" ht="21.75" customHeight="1">
      <c r="A84" s="676" t="s">
        <v>224</v>
      </c>
      <c r="B84" s="676"/>
      <c r="E84" s="676" t="s">
        <v>309</v>
      </c>
      <c r="F84" s="676"/>
    </row>
  </sheetData>
  <sheetProtection password="FBFD" sheet="1" objects="1" scenarios="1"/>
  <mergeCells count="101">
    <mergeCell ref="A81:B81"/>
    <mergeCell ref="A84:B84"/>
    <mergeCell ref="A78:G78"/>
    <mergeCell ref="C79:D79"/>
    <mergeCell ref="E79:G79"/>
    <mergeCell ref="A80:G80"/>
    <mergeCell ref="E81:F81"/>
    <mergeCell ref="E84:F84"/>
    <mergeCell ref="A75:A76"/>
    <mergeCell ref="B75:C76"/>
    <mergeCell ref="D75:G75"/>
    <mergeCell ref="D76:G76"/>
    <mergeCell ref="B73:C73"/>
    <mergeCell ref="D73:G73"/>
    <mergeCell ref="B74:C74"/>
    <mergeCell ref="D74:G74"/>
    <mergeCell ref="A70:G70"/>
    <mergeCell ref="A71:G71"/>
    <mergeCell ref="A72:C72"/>
    <mergeCell ref="D72:G72"/>
    <mergeCell ref="A66:G66"/>
    <mergeCell ref="A67:G67"/>
    <mergeCell ref="A68:G68"/>
    <mergeCell ref="A69:G69"/>
    <mergeCell ref="A61:G62"/>
    <mergeCell ref="A63:G63"/>
    <mergeCell ref="A64:G64"/>
    <mergeCell ref="A65:F65"/>
    <mergeCell ref="A53:F53"/>
    <mergeCell ref="A54:F54"/>
    <mergeCell ref="F55:G55"/>
    <mergeCell ref="A56:A60"/>
    <mergeCell ref="B56:B60"/>
    <mergeCell ref="C56:C60"/>
    <mergeCell ref="D56:D60"/>
    <mergeCell ref="E56:E60"/>
    <mergeCell ref="F56:G60"/>
    <mergeCell ref="A50:A51"/>
    <mergeCell ref="B50:B51"/>
    <mergeCell ref="C50:G51"/>
    <mergeCell ref="A52:G52"/>
    <mergeCell ref="A47:G47"/>
    <mergeCell ref="A48:A49"/>
    <mergeCell ref="B48:B49"/>
    <mergeCell ref="C48:G49"/>
    <mergeCell ref="B42:D44"/>
    <mergeCell ref="E43:G43"/>
    <mergeCell ref="E44:G44"/>
    <mergeCell ref="A45:G45"/>
    <mergeCell ref="C36:D36"/>
    <mergeCell ref="C37:D37"/>
    <mergeCell ref="A38:G40"/>
    <mergeCell ref="B41:D41"/>
    <mergeCell ref="E41:G41"/>
    <mergeCell ref="A34:B34"/>
    <mergeCell ref="C34:D34"/>
    <mergeCell ref="E34:G34"/>
    <mergeCell ref="A35:B35"/>
    <mergeCell ref="C35:D35"/>
    <mergeCell ref="A30:G30"/>
    <mergeCell ref="A31:G31"/>
    <mergeCell ref="A32:G32"/>
    <mergeCell ref="A33:B33"/>
    <mergeCell ref="C33:D33"/>
    <mergeCell ref="E33:G33"/>
    <mergeCell ref="A28:B28"/>
    <mergeCell ref="C28:D28"/>
    <mergeCell ref="E28:F28"/>
    <mergeCell ref="A29:G29"/>
    <mergeCell ref="A25:B25"/>
    <mergeCell ref="C25:D25"/>
    <mergeCell ref="E25:G25"/>
    <mergeCell ref="A26:B26"/>
    <mergeCell ref="C26:D27"/>
    <mergeCell ref="E26:G26"/>
    <mergeCell ref="A27:B27"/>
    <mergeCell ref="E27:G27"/>
    <mergeCell ref="A20:G20"/>
    <mergeCell ref="A22:G22"/>
    <mergeCell ref="A23:G23"/>
    <mergeCell ref="A24:B24"/>
    <mergeCell ref="C24:D24"/>
    <mergeCell ref="E24:G24"/>
    <mergeCell ref="E13:E16"/>
    <mergeCell ref="B15:C15"/>
    <mergeCell ref="A17:C17"/>
    <mergeCell ref="A18:G18"/>
    <mergeCell ref="B10:C10"/>
    <mergeCell ref="A12:A16"/>
    <mergeCell ref="D12:D16"/>
    <mergeCell ref="B13:C13"/>
    <mergeCell ref="D1:G1"/>
    <mergeCell ref="A2:G2"/>
    <mergeCell ref="A3:G3"/>
    <mergeCell ref="A4:G4"/>
    <mergeCell ref="A5:G5"/>
    <mergeCell ref="A7:A9"/>
    <mergeCell ref="B7:C9"/>
    <mergeCell ref="D7:D9"/>
    <mergeCell ref="E7:E9"/>
    <mergeCell ref="F7:G8"/>
  </mergeCells>
  <printOptions/>
  <pageMargins left="0.2362204724409449" right="0.2362204724409449" top="0.2755905511811024" bottom="0.4330708661417323" header="0" footer="0"/>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4:I176"/>
  <sheetViews>
    <sheetView zoomScalePageLayoutView="0" workbookViewId="0" topLeftCell="A85">
      <selection activeCell="B17" sqref="B17:E17"/>
    </sheetView>
  </sheetViews>
  <sheetFormatPr defaultColWidth="11.421875" defaultRowHeight="12.75"/>
  <cols>
    <col min="1" max="1" width="47.57421875" style="20" customWidth="1"/>
    <col min="2" max="2" width="17.00390625" style="20" bestFit="1" customWidth="1"/>
    <col min="3" max="3" width="11.421875" style="20" customWidth="1"/>
    <col min="4" max="4" width="18.421875" style="20" customWidth="1"/>
    <col min="5" max="5" width="14.8515625" style="20" customWidth="1"/>
    <col min="6" max="6" width="17.421875" style="20" customWidth="1"/>
    <col min="7" max="7" width="11.421875" style="20" customWidth="1"/>
    <col min="8" max="8" width="17.00390625" style="20" bestFit="1" customWidth="1"/>
    <col min="9" max="16384" width="11.421875" style="20" customWidth="1"/>
  </cols>
  <sheetData>
    <row r="4" ht="12">
      <c r="H4" s="111"/>
    </row>
    <row r="7" ht="13.5">
      <c r="A7" s="112" t="s">
        <v>229</v>
      </c>
    </row>
    <row r="8" ht="13.5">
      <c r="A8" s="112" t="s">
        <v>230</v>
      </c>
    </row>
    <row r="9" ht="13.5">
      <c r="A9" s="112" t="s">
        <v>269</v>
      </c>
    </row>
    <row r="10" ht="15">
      <c r="B10" s="113" t="s">
        <v>231</v>
      </c>
    </row>
    <row r="11" ht="15">
      <c r="B11" s="113"/>
    </row>
    <row r="13" spans="1:5" ht="12.75">
      <c r="A13" s="114" t="s">
        <v>232</v>
      </c>
      <c r="B13" s="693" t="e">
        <f>#REF!&amp;"  a"</f>
        <v>#REF!</v>
      </c>
      <c r="C13" s="693"/>
      <c r="D13" s="115" t="e">
        <f>#REF!</f>
        <v>#REF!</v>
      </c>
      <c r="E13" s="116"/>
    </row>
    <row r="14" ht="12.75">
      <c r="A14" s="114"/>
    </row>
    <row r="15" spans="1:5" ht="12.75">
      <c r="A15" s="114" t="s">
        <v>233</v>
      </c>
      <c r="B15" s="694" t="e">
        <f>#REF!</f>
        <v>#REF!</v>
      </c>
      <c r="C15" s="694"/>
      <c r="D15" s="694"/>
      <c r="E15" s="694"/>
    </row>
    <row r="16" ht="12.75">
      <c r="A16" s="114"/>
    </row>
    <row r="17" spans="1:5" ht="12.75">
      <c r="A17" s="114" t="s">
        <v>270</v>
      </c>
      <c r="B17" s="695" t="s">
        <v>266</v>
      </c>
      <c r="C17" s="694"/>
      <c r="D17" s="694"/>
      <c r="E17" s="694"/>
    </row>
    <row r="18" ht="12.75">
      <c r="A18" s="114"/>
    </row>
    <row r="19" ht="12.75">
      <c r="A19" s="114"/>
    </row>
    <row r="20" spans="1:2" ht="12.75">
      <c r="A20" s="114" t="s">
        <v>234</v>
      </c>
      <c r="B20" s="117">
        <f>'Tabla 7x5'!H9</f>
        <v>0</v>
      </c>
    </row>
    <row r="21" ht="12.75">
      <c r="A21" s="114"/>
    </row>
    <row r="22" spans="1:5" ht="12.75">
      <c r="A22" s="114" t="s">
        <v>235</v>
      </c>
      <c r="B22" s="117" t="e">
        <f>#REF!</f>
        <v>#REF!</v>
      </c>
      <c r="C22" s="114" t="s">
        <v>236</v>
      </c>
      <c r="E22" s="118" t="e">
        <f>B20/B22</f>
        <v>#REF!</v>
      </c>
    </row>
    <row r="23" ht="12.75">
      <c r="A23" s="114"/>
    </row>
    <row r="24" spans="1:5" ht="12.75">
      <c r="A24" s="114" t="s">
        <v>271</v>
      </c>
      <c r="B24" s="117">
        <f>'Tabla 7x5'!AL3</f>
        <v>0</v>
      </c>
      <c r="C24" s="114" t="s">
        <v>268</v>
      </c>
      <c r="E24" s="117">
        <f>'Tabla 7x5'!AL5</f>
        <v>0</v>
      </c>
    </row>
    <row r="25" ht="12.75">
      <c r="A25" s="114"/>
    </row>
    <row r="26" spans="1:5" ht="12.75">
      <c r="A26" s="114" t="s">
        <v>237</v>
      </c>
      <c r="B26" s="117">
        <f>B20*0.0005</f>
        <v>0</v>
      </c>
      <c r="C26" s="114" t="s">
        <v>238</v>
      </c>
      <c r="E26" s="117" t="e">
        <f>B22*0.0002623</f>
        <v>#REF!</v>
      </c>
    </row>
    <row r="27" ht="12.75">
      <c r="A27" s="114"/>
    </row>
    <row r="28" spans="1:3" ht="12.75">
      <c r="A28" s="114"/>
      <c r="C28" s="114" t="s">
        <v>239</v>
      </c>
    </row>
    <row r="29" spans="1:5" ht="12.75">
      <c r="A29" s="114" t="s">
        <v>240</v>
      </c>
      <c r="B29" s="117">
        <f>'Tabla 7x5'!AL4</f>
        <v>0</v>
      </c>
      <c r="C29" s="114" t="s">
        <v>241</v>
      </c>
      <c r="E29" s="117" t="e">
        <f>B22*7%</f>
        <v>#REF!</v>
      </c>
    </row>
    <row r="31" spans="1:6" ht="12">
      <c r="A31" s="119" t="s">
        <v>242</v>
      </c>
      <c r="B31" s="120"/>
      <c r="C31" s="120"/>
      <c r="D31" s="120"/>
      <c r="E31" s="120"/>
      <c r="F31" s="120"/>
    </row>
    <row r="33" spans="1:6" ht="13.5">
      <c r="A33" s="121" t="s">
        <v>243</v>
      </c>
      <c r="B33" s="122"/>
      <c r="C33" s="122"/>
      <c r="D33" s="122"/>
      <c r="E33" s="122"/>
      <c r="F33" s="122"/>
    </row>
    <row r="34" spans="1:3" ht="12.75">
      <c r="A34" s="114" t="s">
        <v>272</v>
      </c>
      <c r="B34" s="55">
        <f>'Tabla 7x5'!P17</f>
        <v>0</v>
      </c>
      <c r="C34" s="123" t="s">
        <v>244</v>
      </c>
    </row>
    <row r="35" spans="1:3" ht="12.75">
      <c r="A35" s="114" t="s">
        <v>273</v>
      </c>
      <c r="B35" s="124">
        <f>B34*1.5</f>
        <v>0</v>
      </c>
      <c r="C35" s="123" t="s">
        <v>244</v>
      </c>
    </row>
    <row r="36" spans="1:3" ht="12.75">
      <c r="A36" s="114" t="s">
        <v>245</v>
      </c>
      <c r="B36" s="125" t="e">
        <f>#REF!</f>
        <v>#REF!</v>
      </c>
      <c r="C36" s="123" t="s">
        <v>246</v>
      </c>
    </row>
    <row r="37" spans="1:2" ht="12.75">
      <c r="A37" s="114" t="s">
        <v>247</v>
      </c>
      <c r="B37" s="126" t="e">
        <f>#REF!</f>
        <v>#REF!</v>
      </c>
    </row>
    <row r="38" spans="1:2" ht="12.75">
      <c r="A38" s="114" t="s">
        <v>248</v>
      </c>
      <c r="B38" s="127">
        <v>0.8</v>
      </c>
    </row>
    <row r="39" spans="1:9" ht="12.75">
      <c r="A39" s="114" t="s">
        <v>249</v>
      </c>
      <c r="B39" s="128">
        <f>'Tabla 7x5'!P13</f>
        <v>0</v>
      </c>
      <c r="C39" s="58"/>
      <c r="I39" s="20">
        <v>0.0005</v>
      </c>
    </row>
    <row r="40" spans="1:2" ht="12.75">
      <c r="A40" s="114" t="s">
        <v>250</v>
      </c>
      <c r="B40" s="123" t="s">
        <v>251</v>
      </c>
    </row>
    <row r="41" spans="1:3" ht="12.75">
      <c r="A41" s="114" t="s">
        <v>274</v>
      </c>
      <c r="B41" s="129">
        <v>0.07</v>
      </c>
      <c r="C41" s="20" t="s">
        <v>252</v>
      </c>
    </row>
    <row r="42" spans="1:2" ht="12.75">
      <c r="A42" s="114" t="s">
        <v>253</v>
      </c>
      <c r="B42" s="123" t="s">
        <v>293</v>
      </c>
    </row>
    <row r="43" spans="1:2" ht="12.75">
      <c r="A43" s="114"/>
      <c r="B43" s="123"/>
    </row>
    <row r="44" spans="1:2" ht="12.75">
      <c r="A44" s="114" t="s">
        <v>275</v>
      </c>
      <c r="B44" s="123"/>
    </row>
    <row r="45" spans="1:2" ht="12.75">
      <c r="A45" s="114"/>
      <c r="B45" s="123"/>
    </row>
    <row r="46" spans="1:4" ht="12">
      <c r="A46" s="132" t="s">
        <v>276</v>
      </c>
      <c r="B46" s="684" t="s">
        <v>295</v>
      </c>
      <c r="C46" s="685"/>
      <c r="D46" s="686"/>
    </row>
    <row r="47" spans="1:4" ht="25.5" customHeight="1">
      <c r="A47" s="133" t="s">
        <v>277</v>
      </c>
      <c r="B47" s="687" t="s">
        <v>296</v>
      </c>
      <c r="C47" s="688"/>
      <c r="D47" s="689"/>
    </row>
    <row r="48" spans="1:2" ht="12.75">
      <c r="A48" s="114"/>
      <c r="B48" s="123"/>
    </row>
    <row r="49" spans="1:2" ht="12.75">
      <c r="A49" s="114" t="s">
        <v>278</v>
      </c>
      <c r="B49" s="123"/>
    </row>
    <row r="50" spans="1:2" ht="12.75">
      <c r="A50" s="114"/>
      <c r="B50" s="123"/>
    </row>
    <row r="51" spans="1:4" ht="49.5">
      <c r="A51" s="134" t="s">
        <v>279</v>
      </c>
      <c r="B51" s="690" t="s">
        <v>280</v>
      </c>
      <c r="C51" s="690"/>
      <c r="D51" s="690"/>
    </row>
    <row r="52" spans="1:4" ht="24.75">
      <c r="A52" s="134" t="s">
        <v>281</v>
      </c>
      <c r="B52" s="690" t="s">
        <v>282</v>
      </c>
      <c r="C52" s="690"/>
      <c r="D52" s="690"/>
    </row>
    <row r="53" spans="1:2" ht="12">
      <c r="A53" s="123" t="s">
        <v>283</v>
      </c>
      <c r="B53" s="123"/>
    </row>
    <row r="54" spans="1:2" ht="12.75">
      <c r="A54" s="114"/>
      <c r="B54" s="123"/>
    </row>
    <row r="55" spans="1:2" ht="12.75">
      <c r="A55" s="114" t="s">
        <v>284</v>
      </c>
      <c r="B55" s="123"/>
    </row>
    <row r="56" spans="1:2" ht="12.75">
      <c r="A56" s="114"/>
      <c r="B56" s="123"/>
    </row>
    <row r="57" spans="1:4" ht="12">
      <c r="A57" s="132" t="s">
        <v>285</v>
      </c>
      <c r="B57" s="691" t="s">
        <v>286</v>
      </c>
      <c r="C57" s="691"/>
      <c r="D57" s="691"/>
    </row>
    <row r="58" spans="1:4" ht="12">
      <c r="A58" s="132" t="s">
        <v>287</v>
      </c>
      <c r="B58" s="691" t="s">
        <v>288</v>
      </c>
      <c r="C58" s="691"/>
      <c r="D58" s="691"/>
    </row>
    <row r="59" spans="1:4" ht="25.5" customHeight="1">
      <c r="A59" s="133" t="s">
        <v>289</v>
      </c>
      <c r="B59" s="692" t="s">
        <v>290</v>
      </c>
      <c r="C59" s="692"/>
      <c r="D59" s="692"/>
    </row>
    <row r="60" spans="1:4" ht="28.5" customHeight="1">
      <c r="A60" s="132" t="s">
        <v>291</v>
      </c>
      <c r="B60" s="692" t="s">
        <v>292</v>
      </c>
      <c r="C60" s="692"/>
      <c r="D60" s="692"/>
    </row>
    <row r="61" spans="1:2" ht="12.75">
      <c r="A61" s="114"/>
      <c r="B61" s="123"/>
    </row>
    <row r="62" spans="1:2" ht="12.75">
      <c r="A62" s="114"/>
      <c r="B62" s="123"/>
    </row>
    <row r="64" ht="12">
      <c r="A64" s="36" t="s">
        <v>254</v>
      </c>
    </row>
    <row r="65" ht="12">
      <c r="A65" s="36" t="s">
        <v>255</v>
      </c>
    </row>
    <row r="66" ht="12">
      <c r="A66" s="36" t="s">
        <v>256</v>
      </c>
    </row>
    <row r="67" ht="12">
      <c r="A67" s="36" t="s">
        <v>257</v>
      </c>
    </row>
    <row r="68" ht="12">
      <c r="A68" s="36"/>
    </row>
    <row r="69" ht="12">
      <c r="A69" s="36" t="s">
        <v>258</v>
      </c>
    </row>
    <row r="70" ht="12">
      <c r="A70" s="36"/>
    </row>
    <row r="73" spans="1:6" ht="18">
      <c r="A73" s="682" t="s">
        <v>259</v>
      </c>
      <c r="B73" s="682"/>
      <c r="C73" s="682"/>
      <c r="D73" s="682"/>
      <c r="E73" s="682"/>
      <c r="F73" s="682"/>
    </row>
    <row r="74" ht="12">
      <c r="F74" s="130"/>
    </row>
    <row r="169" spans="1:6" ht="12">
      <c r="A169" s="683" t="e">
        <f>#REF!</f>
        <v>#REF!</v>
      </c>
      <c r="B169" s="683"/>
      <c r="D169" s="120" t="e">
        <f>B15</f>
        <v>#REF!</v>
      </c>
      <c r="E169" s="120"/>
      <c r="F169" s="120"/>
    </row>
    <row r="170" spans="1:6" ht="12">
      <c r="A170" s="120" t="s">
        <v>260</v>
      </c>
      <c r="B170" s="120"/>
      <c r="D170" s="120" t="s">
        <v>261</v>
      </c>
      <c r="E170" s="120"/>
      <c r="F170" s="120"/>
    </row>
    <row r="171" spans="1:2" ht="12">
      <c r="A171" s="120" t="e">
        <f>CONCATENATE("Sucursal: ",#REF!)</f>
        <v>#REF!</v>
      </c>
      <c r="B171" s="120"/>
    </row>
    <row r="175" spans="2:4" ht="12">
      <c r="B175" s="131" t="e">
        <f>D13</f>
        <v>#REF!</v>
      </c>
      <c r="C175" s="120"/>
      <c r="D175" s="120"/>
    </row>
    <row r="176" spans="2:4" ht="12">
      <c r="B176" s="120" t="s">
        <v>262</v>
      </c>
      <c r="C176" s="120"/>
      <c r="D176" s="120"/>
    </row>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sheetData>
  <sheetProtection password="FBFD" sheet="1" objects="1" scenarios="1"/>
  <mergeCells count="13">
    <mergeCell ref="B13:C13"/>
    <mergeCell ref="B15:E15"/>
    <mergeCell ref="B17:E17"/>
    <mergeCell ref="A73:F73"/>
    <mergeCell ref="A169:B169"/>
    <mergeCell ref="B46:D46"/>
    <mergeCell ref="B47:D47"/>
    <mergeCell ref="B51:D51"/>
    <mergeCell ref="B52:D52"/>
    <mergeCell ref="B57:D57"/>
    <mergeCell ref="B58:D58"/>
    <mergeCell ref="B59:D59"/>
    <mergeCell ref="B60:D60"/>
  </mergeCells>
  <printOptions/>
  <pageMargins left="0.7086614173228347" right="0.7086614173228347" top="0.7480314960629921" bottom="0.7480314960629921" header="0.31496062992125984" footer="0.31496062992125984"/>
  <pageSetup fitToHeight="0" fitToWidth="1" horizontalDpi="600" verticalDpi="600" orientation="portrait" scale="72" r:id="rId2"/>
  <rowBreaks count="2" manualBreakCount="2">
    <brk id="141" max="5" man="1"/>
    <brk id="177" max="5" man="1"/>
  </rowBreaks>
  <drawing r:id="rId1"/>
</worksheet>
</file>

<file path=xl/worksheets/sheet6.xml><?xml version="1.0" encoding="utf-8"?>
<worksheet xmlns="http://schemas.openxmlformats.org/spreadsheetml/2006/main" xmlns:r="http://schemas.openxmlformats.org/officeDocument/2006/relationships">
  <sheetPr codeName="Hoja14"/>
  <dimension ref="A1:D45"/>
  <sheetViews>
    <sheetView showGridLines="0" showRowColHeaders="0" zoomScale="90" zoomScaleNormal="90" zoomScalePageLayoutView="0" workbookViewId="0" topLeftCell="A1">
      <selection activeCell="A45" sqref="A45:D45"/>
    </sheetView>
  </sheetViews>
  <sheetFormatPr defaultColWidth="11.421875" defaultRowHeight="12.75"/>
  <cols>
    <col min="1" max="1" width="32.421875" style="144" customWidth="1"/>
    <col min="2" max="2" width="28.57421875" style="144" customWidth="1"/>
    <col min="3" max="3" width="25.57421875" style="144" customWidth="1"/>
    <col min="4" max="4" width="30.57421875" style="144" customWidth="1"/>
    <col min="5" max="16384" width="11.421875" style="144" customWidth="1"/>
  </cols>
  <sheetData>
    <row r="1" spans="1:4" ht="47.25" customHeight="1">
      <c r="A1" s="463"/>
      <c r="B1" s="464"/>
      <c r="C1" s="464"/>
      <c r="D1" s="464"/>
    </row>
    <row r="2" spans="1:4" ht="21.75" customHeight="1">
      <c r="A2" s="735" t="s">
        <v>420</v>
      </c>
      <c r="B2" s="735"/>
      <c r="C2" s="735"/>
      <c r="D2" s="735"/>
    </row>
    <row r="3" spans="1:4" ht="12">
      <c r="A3" s="464"/>
      <c r="B3" s="464"/>
      <c r="C3" s="464"/>
      <c r="D3" s="465" t="s">
        <v>414</v>
      </c>
    </row>
    <row r="4" spans="1:4" ht="21" customHeight="1">
      <c r="A4" s="464"/>
      <c r="B4" s="464"/>
      <c r="C4" s="464"/>
      <c r="D4" s="464">
        <f>IF('Simulador 7x5'!C13="","",'Simulador 7x5'!C13)</f>
      </c>
    </row>
    <row r="5" spans="1:4" ht="12">
      <c r="A5" s="464"/>
      <c r="B5" s="464"/>
      <c r="C5" s="464"/>
      <c r="D5" s="465" t="s">
        <v>432</v>
      </c>
    </row>
    <row r="6" spans="1:3" ht="16.5" customHeight="1">
      <c r="A6" s="464"/>
      <c r="B6" s="464"/>
      <c r="C6" s="464"/>
    </row>
    <row r="7" spans="1:4" ht="21" customHeight="1">
      <c r="A7" s="466" t="s">
        <v>338</v>
      </c>
      <c r="B7" s="736" t="str">
        <f>"PREVENTA 7x5"&amp;" "&amp;A18</f>
        <v>PREVENTA 7x5 5 años</v>
      </c>
      <c r="C7" s="736"/>
      <c r="D7" s="737"/>
    </row>
    <row r="8" spans="1:4" ht="12.75" customHeight="1">
      <c r="A8" s="738"/>
      <c r="B8" s="739"/>
      <c r="C8" s="739"/>
      <c r="D8" s="740"/>
    </row>
    <row r="9" spans="1:4" ht="12.75" customHeight="1">
      <c r="A9" s="741" t="s">
        <v>339</v>
      </c>
      <c r="B9" s="742"/>
      <c r="C9" s="742"/>
      <c r="D9" s="743"/>
    </row>
    <row r="10" spans="1:4" ht="15.75" customHeight="1">
      <c r="A10" s="467" t="s">
        <v>340</v>
      </c>
      <c r="B10" s="468" t="s">
        <v>341</v>
      </c>
      <c r="C10" s="468" t="s">
        <v>342</v>
      </c>
      <c r="D10" s="468" t="s">
        <v>421</v>
      </c>
    </row>
    <row r="11" spans="1:4" ht="15.75" customHeight="1">
      <c r="A11" s="469" t="s">
        <v>343</v>
      </c>
      <c r="B11" s="470" t="s">
        <v>418</v>
      </c>
      <c r="C11" s="470" t="s">
        <v>344</v>
      </c>
      <c r="D11" s="470" t="s">
        <v>422</v>
      </c>
    </row>
    <row r="12" spans="1:4" ht="13.5">
      <c r="A12" s="471">
        <f>'Tabla 7x5'!$P$13</f>
        <v>0</v>
      </c>
      <c r="B12" s="472">
        <f>'Simulador 7x5'!Y77</f>
        <v>0.085</v>
      </c>
      <c r="C12" s="473">
        <f>'Simulador 7x5'!$Y$78</f>
        <v>0</v>
      </c>
      <c r="D12" s="473">
        <f>_xlfn.IFERROR(SUM('Tabla 7x5'!$X$17:$X$136),0)</f>
        <v>0</v>
      </c>
    </row>
    <row r="13" spans="1:4" ht="12">
      <c r="A13" s="474" t="s">
        <v>345</v>
      </c>
      <c r="B13" s="475" t="s">
        <v>392</v>
      </c>
      <c r="C13" s="474"/>
      <c r="D13" s="474" t="s">
        <v>346</v>
      </c>
    </row>
    <row r="14" spans="1:4" ht="12">
      <c r="A14" s="474" t="s">
        <v>347</v>
      </c>
      <c r="B14" s="476"/>
      <c r="C14" s="474"/>
      <c r="D14" s="474" t="s">
        <v>348</v>
      </c>
    </row>
    <row r="15" spans="1:4" ht="12">
      <c r="A15" s="474" t="s">
        <v>349</v>
      </c>
      <c r="B15" s="477">
        <f>IF('Simulador 7x5'!T41=1,"",IF('Simulador 7x5'!I27=0,0,MIN('Simulador 7x5'!I27+'Simulador 7x5'!X72,'Tabla 7x5'!AD5)))</f>
      </c>
      <c r="C15" s="474"/>
      <c r="D15" s="474" t="s">
        <v>350</v>
      </c>
    </row>
    <row r="16" spans="1:4" ht="12">
      <c r="A16" s="478" t="s">
        <v>351</v>
      </c>
      <c r="B16" s="479">
        <f>IF('Simulador 7x5'!T41=1,"","TIIE + 4.5% (Tasa Variable)")</f>
      </c>
      <c r="C16" s="480"/>
      <c r="D16" s="480"/>
    </row>
    <row r="17" spans="1:4" ht="42" customHeight="1">
      <c r="A17" s="466" t="s">
        <v>352</v>
      </c>
      <c r="B17" s="744" t="s">
        <v>423</v>
      </c>
      <c r="C17" s="745"/>
      <c r="D17" s="746"/>
    </row>
    <row r="18" spans="1:4" ht="39.75" customHeight="1">
      <c r="A18" s="481" t="str">
        <f>'Simulador 7x5'!$Y$76</f>
        <v>5 años</v>
      </c>
      <c r="B18" s="744" t="s">
        <v>424</v>
      </c>
      <c r="C18" s="745"/>
      <c r="D18" s="746"/>
    </row>
    <row r="19" spans="1:4" ht="12">
      <c r="A19" s="730" t="s">
        <v>353</v>
      </c>
      <c r="B19" s="731"/>
      <c r="C19" s="731"/>
      <c r="D19" s="732"/>
    </row>
    <row r="20" spans="1:4" ht="21" customHeight="1">
      <c r="A20" s="747" t="str">
        <f>"Apertura: "&amp;TEXT('Tabla 7x5'!$AL$3,"$###,###.00")</f>
        <v>Apertura: $.00</v>
      </c>
      <c r="B20" s="748"/>
      <c r="C20" s="747" t="s">
        <v>450</v>
      </c>
      <c r="D20" s="748"/>
    </row>
    <row r="21" spans="1:4" ht="31.5" customHeight="1">
      <c r="A21" s="714" t="s">
        <v>390</v>
      </c>
      <c r="B21" s="715"/>
      <c r="C21" s="716" t="s">
        <v>431</v>
      </c>
      <c r="D21" s="717"/>
    </row>
    <row r="22" spans="1:4" ht="12">
      <c r="A22" s="718" t="s">
        <v>354</v>
      </c>
      <c r="B22" s="719"/>
      <c r="C22" s="719"/>
      <c r="D22" s="720"/>
    </row>
    <row r="23" spans="1:4" ht="12">
      <c r="A23" s="724"/>
      <c r="B23" s="725"/>
      <c r="C23" s="725"/>
      <c r="D23" s="726"/>
    </row>
    <row r="24" spans="1:4" ht="18" customHeight="1">
      <c r="A24" s="696" t="s">
        <v>425</v>
      </c>
      <c r="B24" s="697"/>
      <c r="C24" s="697"/>
      <c r="D24" s="698"/>
    </row>
    <row r="25" spans="1:4" ht="18" customHeight="1">
      <c r="A25" s="696" t="s">
        <v>435</v>
      </c>
      <c r="B25" s="697"/>
      <c r="C25" s="697"/>
      <c r="D25" s="698"/>
    </row>
    <row r="26" spans="1:4" ht="18" customHeight="1">
      <c r="A26" s="696" t="s">
        <v>415</v>
      </c>
      <c r="B26" s="697"/>
      <c r="C26" s="697"/>
      <c r="D26" s="698"/>
    </row>
    <row r="27" spans="1:4" ht="18" customHeight="1">
      <c r="A27" s="727" t="s">
        <v>389</v>
      </c>
      <c r="B27" s="728"/>
      <c r="C27" s="728"/>
      <c r="D27" s="729"/>
    </row>
    <row r="28" spans="1:4" ht="12">
      <c r="A28" s="730" t="s">
        <v>355</v>
      </c>
      <c r="B28" s="731"/>
      <c r="C28" s="731"/>
      <c r="D28" s="732"/>
    </row>
    <row r="29" spans="1:4" ht="12">
      <c r="A29" s="483" t="s">
        <v>356</v>
      </c>
      <c r="B29" s="484" t="s">
        <v>357</v>
      </c>
      <c r="C29" s="485" t="s">
        <v>358</v>
      </c>
      <c r="D29" s="486"/>
    </row>
    <row r="30" spans="1:4" ht="12">
      <c r="A30" s="487"/>
      <c r="B30" s="488"/>
      <c r="C30" s="489"/>
      <c r="D30" s="490"/>
    </row>
    <row r="31" spans="1:4" ht="33" customHeight="1">
      <c r="A31" s="518" t="s">
        <v>317</v>
      </c>
      <c r="B31" s="491" t="s">
        <v>436</v>
      </c>
      <c r="C31" s="492" t="s">
        <v>426</v>
      </c>
      <c r="D31" s="490"/>
    </row>
    <row r="32" spans="1:4" ht="33" customHeight="1">
      <c r="A32" s="518"/>
      <c r="B32" s="491"/>
      <c r="C32" s="733" t="s">
        <v>433</v>
      </c>
      <c r="D32" s="734"/>
    </row>
    <row r="33" spans="1:4" ht="33" customHeight="1">
      <c r="A33" s="518" t="s">
        <v>437</v>
      </c>
      <c r="B33" s="491" t="s">
        <v>438</v>
      </c>
      <c r="C33" s="733"/>
      <c r="D33" s="734"/>
    </row>
    <row r="34" spans="1:4" ht="17.25" customHeight="1">
      <c r="A34" s="518"/>
      <c r="B34" s="491"/>
      <c r="C34" s="733"/>
      <c r="D34" s="734"/>
    </row>
    <row r="35" spans="1:4" ht="12">
      <c r="A35" s="718" t="s">
        <v>359</v>
      </c>
      <c r="B35" s="719"/>
      <c r="C35" s="719"/>
      <c r="D35" s="720"/>
    </row>
    <row r="36" spans="1:4" ht="12.75" customHeight="1">
      <c r="A36" s="721" t="s">
        <v>434</v>
      </c>
      <c r="B36" s="722"/>
      <c r="C36" s="722"/>
      <c r="D36" s="723"/>
    </row>
    <row r="37" spans="1:4" ht="12">
      <c r="A37" s="708" t="s">
        <v>360</v>
      </c>
      <c r="B37" s="709"/>
      <c r="C37" s="709"/>
      <c r="D37" s="710"/>
    </row>
    <row r="38" spans="1:4" ht="12">
      <c r="A38" s="702" t="s">
        <v>361</v>
      </c>
      <c r="B38" s="703"/>
      <c r="C38" s="703"/>
      <c r="D38" s="704"/>
    </row>
    <row r="39" spans="1:4" ht="31.5" customHeight="1">
      <c r="A39" s="702" t="s">
        <v>362</v>
      </c>
      <c r="B39" s="703"/>
      <c r="C39" s="703"/>
      <c r="D39" s="704"/>
    </row>
    <row r="40" spans="1:4" ht="12">
      <c r="A40" s="702" t="s">
        <v>363</v>
      </c>
      <c r="B40" s="703"/>
      <c r="C40" s="703"/>
      <c r="D40" s="704"/>
    </row>
    <row r="41" spans="1:4" ht="12">
      <c r="A41" s="702" t="s">
        <v>364</v>
      </c>
      <c r="B41" s="703"/>
      <c r="C41" s="703"/>
      <c r="D41" s="704"/>
    </row>
    <row r="42" spans="1:4" ht="12">
      <c r="A42" s="711" t="s">
        <v>365</v>
      </c>
      <c r="B42" s="712"/>
      <c r="C42" s="712"/>
      <c r="D42" s="713"/>
    </row>
    <row r="43" spans="1:4" ht="21" customHeight="1">
      <c r="A43" s="699" t="str">
        <f>"Registro de Contratos de Adhesión Núm:  "&amp;IF('Simulador 7x5'!C23="","",_xlfn.IFERROR(VLOOKUP('Simulador 7x5'!$AD$45&amp;"-3-1",RECAS!$A$3:$D$6,4,0),"Revisa los datos ingresados"))</f>
        <v>Registro de Contratos de Adhesión Núm:  </v>
      </c>
      <c r="B43" s="700"/>
      <c r="C43" s="700"/>
      <c r="D43" s="701"/>
    </row>
    <row r="44" spans="1:4" ht="21" customHeight="1">
      <c r="A44" s="702" t="s">
        <v>366</v>
      </c>
      <c r="B44" s="703"/>
      <c r="C44" s="703"/>
      <c r="D44" s="704"/>
    </row>
    <row r="45" spans="1:4" ht="21" customHeight="1">
      <c r="A45" s="705" t="s">
        <v>451</v>
      </c>
      <c r="B45" s="706"/>
      <c r="C45" s="706"/>
      <c r="D45" s="707"/>
    </row>
  </sheetData>
  <sheetProtection password="FBFD" sheet="1" objects="1" scenarios="1"/>
  <mergeCells count="30">
    <mergeCell ref="C32:D34"/>
    <mergeCell ref="A2:D2"/>
    <mergeCell ref="B7:D7"/>
    <mergeCell ref="A8:D8"/>
    <mergeCell ref="A9:D9"/>
    <mergeCell ref="B17:D17"/>
    <mergeCell ref="B18:D18"/>
    <mergeCell ref="A19:D19"/>
    <mergeCell ref="A20:B20"/>
    <mergeCell ref="C20:D20"/>
    <mergeCell ref="A21:B21"/>
    <mergeCell ref="C21:D21"/>
    <mergeCell ref="A22:D22"/>
    <mergeCell ref="A35:D35"/>
    <mergeCell ref="A36:D36"/>
    <mergeCell ref="A23:D23"/>
    <mergeCell ref="A24:D24"/>
    <mergeCell ref="A25:D25"/>
    <mergeCell ref="A27:D27"/>
    <mergeCell ref="A28:D28"/>
    <mergeCell ref="A26:D26"/>
    <mergeCell ref="A43:D43"/>
    <mergeCell ref="A44:D44"/>
    <mergeCell ref="A45:D45"/>
    <mergeCell ref="A37:D37"/>
    <mergeCell ref="A38:D38"/>
    <mergeCell ref="A39:D39"/>
    <mergeCell ref="A40:D40"/>
    <mergeCell ref="A41:D41"/>
    <mergeCell ref="A42:D42"/>
  </mergeCells>
  <printOptions horizontalCentered="1"/>
  <pageMargins left="0.7086614173228347" right="0.7086614173228347" top="0.7480314960629921" bottom="0.7480314960629921" header="0.31496062992125984" footer="0.31496062992125984"/>
  <pageSetup horizontalDpi="600" verticalDpi="600" orientation="portrait" scale="78" r:id="rId3"/>
  <drawing r:id="rId2"/>
  <legacyDrawing r:id="rId1"/>
</worksheet>
</file>

<file path=xl/worksheets/sheet7.xml><?xml version="1.0" encoding="utf-8"?>
<worksheet xmlns="http://schemas.openxmlformats.org/spreadsheetml/2006/main" xmlns:r="http://schemas.openxmlformats.org/officeDocument/2006/relationships">
  <sheetPr codeName="Hoja11"/>
  <dimension ref="A1:H4"/>
  <sheetViews>
    <sheetView showRowColHeaders="0" zoomScale="90" zoomScaleNormal="90" zoomScalePageLayoutView="0" workbookViewId="0" topLeftCell="A1">
      <selection activeCell="B1" sqref="B1:E1"/>
    </sheetView>
  </sheetViews>
  <sheetFormatPr defaultColWidth="11.421875" defaultRowHeight="12.75"/>
  <cols>
    <col min="1" max="1" width="8.140625" style="148" customWidth="1"/>
    <col min="2" max="2" width="6.8515625" style="148" customWidth="1"/>
    <col min="3" max="3" width="63.140625" style="148" customWidth="1"/>
    <col min="4" max="4" width="29.140625" style="148" bestFit="1" customWidth="1"/>
    <col min="5" max="5" width="10.8515625" style="148" bestFit="1" customWidth="1"/>
    <col min="6" max="6" width="4.8515625" style="148" customWidth="1"/>
    <col min="7" max="7" width="5.421875" style="148" customWidth="1"/>
    <col min="8" max="8" width="5.00390625" style="148" customWidth="1"/>
    <col min="9" max="9" width="14.421875" style="148" customWidth="1"/>
    <col min="10" max="10" width="12.57421875" style="148" bestFit="1" customWidth="1"/>
    <col min="11" max="16384" width="11.421875" style="148" customWidth="1"/>
  </cols>
  <sheetData>
    <row r="1" spans="1:7" ht="25.5" customHeight="1" thickBot="1">
      <c r="A1" s="146"/>
      <c r="B1" s="749" t="s">
        <v>439</v>
      </c>
      <c r="C1" s="750"/>
      <c r="D1" s="750"/>
      <c r="E1" s="751"/>
      <c r="F1" s="147"/>
      <c r="G1" s="147"/>
    </row>
    <row r="2" spans="1:8" ht="27.75" customHeight="1">
      <c r="A2" s="147" t="s">
        <v>367</v>
      </c>
      <c r="B2" s="149" t="s">
        <v>368</v>
      </c>
      <c r="C2" s="150" t="s">
        <v>369</v>
      </c>
      <c r="D2" s="150" t="s">
        <v>370</v>
      </c>
      <c r="E2" s="151" t="s">
        <v>371</v>
      </c>
      <c r="F2" s="152" t="s">
        <v>372</v>
      </c>
      <c r="G2" s="152" t="s">
        <v>373</v>
      </c>
      <c r="H2" s="152" t="s">
        <v>374</v>
      </c>
    </row>
    <row r="3" spans="1:8" ht="30">
      <c r="A3" s="354" t="str">
        <f>F3&amp;"-"&amp;G3&amp;"-"&amp;H3</f>
        <v>2-3-1</v>
      </c>
      <c r="B3" s="445">
        <v>37</v>
      </c>
      <c r="C3" s="446" t="s">
        <v>384</v>
      </c>
      <c r="D3" s="446" t="s">
        <v>440</v>
      </c>
      <c r="E3" s="447">
        <v>44725</v>
      </c>
      <c r="F3" s="354">
        <v>2</v>
      </c>
      <c r="G3" s="355">
        <v>3</v>
      </c>
      <c r="H3" s="354">
        <v>1</v>
      </c>
    </row>
    <row r="4" spans="1:8" ht="30">
      <c r="A4" s="354" t="str">
        <f>F4&amp;"-"&amp;G4&amp;"-"&amp;H4</f>
        <v>1-3-1</v>
      </c>
      <c r="B4" s="445">
        <v>38</v>
      </c>
      <c r="C4" s="446" t="s">
        <v>385</v>
      </c>
      <c r="D4" s="446" t="s">
        <v>441</v>
      </c>
      <c r="E4" s="447">
        <v>44725</v>
      </c>
      <c r="F4" s="354">
        <v>1</v>
      </c>
      <c r="G4" s="355">
        <v>3</v>
      </c>
      <c r="H4" s="354">
        <v>1</v>
      </c>
    </row>
  </sheetData>
  <sheetProtection password="FBFD" sheet="1" objects="1" scenarios="1"/>
  <mergeCells count="1">
    <mergeCell ref="B1:E1"/>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Simulador para el Interior</dc:title>
  <dc:subject>Financiamiento Hogares Residencial</dc:subject>
  <dc:creator>CREDITO HIPOTECARIO</dc:creator>
  <cp:keywords/>
  <dc:description/>
  <cp:lastModifiedBy>Estrada Gutierrez, Nancy Karen</cp:lastModifiedBy>
  <cp:lastPrinted>2017-07-30T19:50:18Z</cp:lastPrinted>
  <dcterms:created xsi:type="dcterms:W3CDTF">2000-04-10T23:53:39Z</dcterms:created>
  <dcterms:modified xsi:type="dcterms:W3CDTF">2022-07-01T16:58:08Z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