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workbookProtection lockStructure="1"/>
  <bookViews>
    <workbookView showSheetTabs="0" xWindow="0" yWindow="0" windowWidth="19200" windowHeight="7050" tabRatio="707" activeTab="0"/>
  </bookViews>
  <sheets>
    <sheet name="Simulador" sheetId="1" r:id="rId1"/>
    <sheet name="Tabla de amortizacion" sheetId="2" r:id="rId2"/>
    <sheet name="Carat_cont" sheetId="3" state="hidden" r:id="rId3"/>
    <sheet name="RECAS" sheetId="4" state="hidden" r:id="rId4"/>
    <sheet name="Pol" sheetId="5" state="hidden" r:id="rId5"/>
  </sheets>
  <definedNames>
    <definedName name="_xlfn.IFERROR" hidden="1">#NAME?</definedName>
    <definedName name="_xlnm.Print_Area" localSheetId="2">'Carat_cont'!$A$1:$D$43</definedName>
    <definedName name="_xlnm.Print_Area" localSheetId="0">'Simulador'!$B$2:$Q$59</definedName>
    <definedName name="_xlnm.Print_Area" localSheetId="1">'Tabla de amortizacion'!$A$1:$AB$256</definedName>
    <definedName name="_xlnm.Print_Titles" localSheetId="1">'Tabla de amortizacion'!$1:$14</definedName>
  </definedNames>
  <calcPr fullCalcOnLoad="1"/>
</workbook>
</file>

<file path=xl/comments1.xml><?xml version="1.0" encoding="utf-8"?>
<comments xmlns="http://schemas.openxmlformats.org/spreadsheetml/2006/main">
  <authors>
    <author>Efrain Guti?rrez GK</author>
    <author>MENDOZA ALEVARIO, ALEJANDRO</author>
  </authors>
  <commentList>
    <comment ref="N27" authorId="0">
      <text>
        <r>
          <rPr>
            <sz val="8"/>
            <rFont val="Tahoma"/>
            <family val="2"/>
          </rPr>
          <t xml:space="preserve">Si no se especifica un porcentaje, por default se calcula con un 5%
</t>
        </r>
      </text>
    </comment>
    <comment ref="N28" authorId="0">
      <text>
        <r>
          <rPr>
            <sz val="8"/>
            <rFont val="Tahoma"/>
            <family val="2"/>
          </rPr>
          <t xml:space="preserve">Si no se especifica un porcentaje, por default se calcula con un 5%
</t>
        </r>
      </text>
    </comment>
    <comment ref="M27" authorId="0">
      <text>
        <r>
          <rPr>
            <sz val="8"/>
            <rFont val="Tahoma"/>
            <family val="2"/>
          </rPr>
          <t xml:space="preserve">Si se conoce el porcentaje, introducir el dato
</t>
        </r>
      </text>
    </comment>
    <comment ref="M28" authorId="0">
      <text>
        <r>
          <rPr>
            <sz val="8"/>
            <rFont val="Tahoma"/>
            <family val="2"/>
          </rPr>
          <t xml:space="preserve">Si se conoce el porcentaje, introducir el dato
</t>
        </r>
      </text>
    </comment>
    <comment ref="AC31" authorId="1">
      <text>
        <r>
          <rPr>
            <b/>
            <sz val="9"/>
            <rFont val="Tahoma"/>
            <family val="2"/>
          </rPr>
          <t>PTI para IR 2</t>
        </r>
      </text>
    </comment>
    <comment ref="Z35" authorId="1">
      <text>
        <r>
          <rPr>
            <sz val="9"/>
            <rFont val="Tahoma"/>
            <family val="2"/>
          </rPr>
          <t>Ant $250,000</t>
        </r>
      </text>
    </comment>
    <comment ref="AB35" authorId="1">
      <text>
        <r>
          <rPr>
            <sz val="9"/>
            <rFont val="Tahoma"/>
            <family val="2"/>
          </rPr>
          <t>Ant $400,000</t>
        </r>
      </text>
    </comment>
    <comment ref="Z36" authorId="1">
      <text>
        <r>
          <rPr>
            <sz val="9"/>
            <rFont val="Tahoma"/>
            <family val="2"/>
          </rPr>
          <t>Ant $250,000</t>
        </r>
      </text>
    </comment>
    <comment ref="AB36" authorId="1">
      <text>
        <r>
          <rPr>
            <sz val="9"/>
            <rFont val="Tahoma"/>
            <family val="2"/>
          </rPr>
          <t>Ant $400,000</t>
        </r>
      </text>
    </comment>
    <comment ref="T111" authorId="1">
      <text>
        <r>
          <rPr>
            <b/>
            <sz val="9"/>
            <rFont val="Tahoma"/>
            <family val="2"/>
          </rPr>
          <t>El costo del Avalúo debe cotizarse con el área de avalúos</t>
        </r>
      </text>
    </comment>
    <comment ref="U111" authorId="1">
      <text>
        <r>
          <rPr>
            <b/>
            <sz val="9"/>
            <rFont val="Tahoma"/>
            <family val="2"/>
          </rPr>
          <t>El costo del Avalúo debe cotizarse con el área de avalúos</t>
        </r>
      </text>
    </comment>
    <comment ref="V111" authorId="1">
      <text>
        <r>
          <rPr>
            <b/>
            <sz val="9"/>
            <rFont val="Tahoma"/>
            <family val="2"/>
          </rPr>
          <t>El costo del Avalúo debe cotizarse con el área de avalúos</t>
        </r>
      </text>
    </comment>
  </commentList>
</comments>
</file>

<file path=xl/comments2.xml><?xml version="1.0" encoding="utf-8"?>
<comments xmlns="http://schemas.openxmlformats.org/spreadsheetml/2006/main">
  <authors>
    <author>MENDOZA ALEVARIO, ALEJANDRO</author>
  </authors>
  <commentList>
    <comment ref="BJ14" authorId="0">
      <text>
        <r>
          <rPr>
            <b/>
            <sz val="9"/>
            <rFont val="Tahoma"/>
            <family val="2"/>
          </rPr>
          <t>Dia fijado por el Banco para el corte de los créditos.</t>
        </r>
      </text>
    </comment>
  </commentList>
</comments>
</file>

<file path=xl/comments4.xml><?xml version="1.0" encoding="utf-8"?>
<comments xmlns="http://schemas.openxmlformats.org/spreadsheetml/2006/main">
  <authors>
    <author>Mendoza Alevario, Alejandro</author>
  </authors>
  <commentList>
    <comment ref="H2" authorId="0">
      <text>
        <r>
          <rPr>
            <sz val="8"/>
            <rFont val="Tahoma"/>
            <family val="2"/>
          </rPr>
          <t>Individual = 1
Mancomunado = 2</t>
        </r>
      </text>
    </comment>
    <comment ref="G2" authorId="0">
      <text>
        <r>
          <rPr>
            <sz val="8"/>
            <rFont val="Tahoma"/>
            <family val="2"/>
          </rPr>
          <t>Valora = 1
Pagos Oportunos = 2</t>
        </r>
      </text>
    </comment>
  </commentList>
</comments>
</file>

<file path=xl/sharedStrings.xml><?xml version="1.0" encoding="utf-8"?>
<sst xmlns="http://schemas.openxmlformats.org/spreadsheetml/2006/main" count="595" uniqueCount="483">
  <si>
    <t>Avalúo</t>
  </si>
  <si>
    <t>Mayor a</t>
  </si>
  <si>
    <t>Hasta a</t>
  </si>
  <si>
    <t>Importe</t>
  </si>
  <si>
    <t>Observaciones:</t>
  </si>
  <si>
    <t>Plazo</t>
  </si>
  <si>
    <t>Saldo Inicial</t>
  </si>
  <si>
    <t>Erogación</t>
  </si>
  <si>
    <t>Interés</t>
  </si>
  <si>
    <t>Amortización</t>
  </si>
  <si>
    <t>Saldo Final</t>
  </si>
  <si>
    <t>Pago Mensual</t>
  </si>
  <si>
    <t>Inc. Pago</t>
  </si>
  <si>
    <t>Tasa Aplic.</t>
  </si>
  <si>
    <t>Escoja la opción de su interés:</t>
  </si>
  <si>
    <t>Comisión por apertura</t>
  </si>
  <si>
    <t>Tasa aplicada</t>
  </si>
  <si>
    <t>Observaciones</t>
  </si>
  <si>
    <t>Comisión por prepagos</t>
  </si>
  <si>
    <t>Prepagos a capital</t>
  </si>
  <si>
    <t>Período</t>
  </si>
  <si>
    <t>Por Ingresos</t>
  </si>
  <si>
    <t>Por Valor del Inmueble</t>
  </si>
  <si>
    <t>Seguro de vida</t>
  </si>
  <si>
    <t>Seguro de daños</t>
  </si>
  <si>
    <r>
      <t xml:space="preserve">-  En caso de que aplique, la comisión por pagos anticipados </t>
    </r>
    <r>
      <rPr>
        <b/>
        <sz val="8"/>
        <rFont val="Arial"/>
        <family val="2"/>
      </rPr>
      <t>causa I.V.A.</t>
    </r>
  </si>
  <si>
    <t xml:space="preserve">FINANCIAMIENTO RESIDENCIAL SCOTIABANK </t>
  </si>
  <si>
    <t>- Esta cotización tiene carácter informativo, Scotiabank se reserva el derecho de cambiar cualquier condición sin previo aviso.</t>
  </si>
  <si>
    <t>- Este documento NO implica que el crédito ha sido autorizado, ni establece obligación alguna para Scotiabank.</t>
  </si>
  <si>
    <t>FINANCIAMIENTO RESIDENCIAL SCOTIABANK</t>
  </si>
  <si>
    <t>TABLA DE AMORTIZACION</t>
  </si>
  <si>
    <t>- En caso de que aplique la comisión por prepagos causa IVA y en la corrida ya lo incluye</t>
  </si>
  <si>
    <t>10 años</t>
  </si>
  <si>
    <t>15 años</t>
  </si>
  <si>
    <t>20 años</t>
  </si>
  <si>
    <t>LTV</t>
  </si>
  <si>
    <t>Año</t>
  </si>
  <si>
    <t>-  El crédito solicitado dependerá de la capacidad de pago de cada cliente</t>
  </si>
  <si>
    <t>Corrida para CAT</t>
  </si>
  <si>
    <t>Total</t>
  </si>
  <si>
    <t>- CAT =.</t>
  </si>
  <si>
    <t>TIR</t>
  </si>
  <si>
    <t>Tasa</t>
  </si>
  <si>
    <t>Intereses</t>
  </si>
  <si>
    <t>30 años</t>
  </si>
  <si>
    <t>7 años</t>
  </si>
  <si>
    <t>Piso</t>
  </si>
  <si>
    <t>Techo</t>
  </si>
  <si>
    <t>- Para los esquemas de "Pagos Oportunos" y "Valora" se deberá cumplir con las reglas establecidas en los programas para la disminución de la tasa de interés</t>
  </si>
  <si>
    <t>"Para fines informativos de comparación exclusivamente sin IVA"</t>
  </si>
  <si>
    <t>años</t>
  </si>
  <si>
    <t>meses</t>
  </si>
  <si>
    <t>El crédito se liquida</t>
  </si>
  <si>
    <t>Años</t>
  </si>
  <si>
    <t>Meses</t>
  </si>
  <si>
    <t>por pago puntual en:</t>
  </si>
  <si>
    <t>Incremento Pago</t>
  </si>
  <si>
    <t>Disminución de plazo</t>
  </si>
  <si>
    <t>Disminución de pago</t>
  </si>
  <si>
    <t>- El escenario que se presenta en la tabla de amortización siempre es considerando que se paga de manera puntual el crédito.</t>
  </si>
  <si>
    <t>- En caso de anticipos a capital escoja la opción:</t>
  </si>
  <si>
    <t>Valora</t>
  </si>
  <si>
    <t xml:space="preserve">-  Scotiabank se reserva el derecho de solicitar información adicional y/o restringir parámetros de enganche, monto, plazo o tasa en función de las características específicas </t>
  </si>
  <si>
    <t xml:space="preserve">    del solicitante y del inmueble objeto de la operación.</t>
  </si>
  <si>
    <t>Adquisición Tradicional</t>
  </si>
  <si>
    <t>Adquisición con Apoyo Infonavit</t>
  </si>
  <si>
    <t>Cofinavit</t>
  </si>
  <si>
    <t>Respalda2</t>
  </si>
  <si>
    <t>Como desea hacer su cálculo</t>
  </si>
  <si>
    <t>Por Importe de Crédito</t>
  </si>
  <si>
    <t>Plazo del crédito</t>
  </si>
  <si>
    <t>Pagos Oportunos</t>
  </si>
  <si>
    <t>Que producto desea</t>
  </si>
  <si>
    <t>Tasa de interés (Solo para Valora)</t>
  </si>
  <si>
    <t>Detalle</t>
  </si>
  <si>
    <t>Producto</t>
  </si>
  <si>
    <t>% de financiamiento</t>
  </si>
  <si>
    <t>Recursos</t>
  </si>
  <si>
    <t>Gastos de Originación</t>
  </si>
  <si>
    <t>Valor de vivienda</t>
  </si>
  <si>
    <t>Ingresos</t>
  </si>
  <si>
    <t>Inc anuales</t>
  </si>
  <si>
    <t>ppm</t>
  </si>
  <si>
    <t xml:space="preserve">Valor de vivienda </t>
  </si>
  <si>
    <t>Costo Avalúo</t>
  </si>
  <si>
    <t>CALCULO DE LA PORCION A CON BASE EN EL SSV REMANENTE</t>
  </si>
  <si>
    <t>SSV INFONAVIT</t>
  </si>
  <si>
    <t>Uso de la SSV</t>
  </si>
  <si>
    <t>Proyección de Anualidades Garantizadas</t>
  </si>
  <si>
    <t>SSV Total</t>
  </si>
  <si>
    <t>Tasa SSV Proyectar</t>
  </si>
  <si>
    <t>SSV al frente</t>
  </si>
  <si>
    <t>SSV Remanente</t>
  </si>
  <si>
    <t>Tasa Efectiva</t>
  </si>
  <si>
    <t>Anualidad Garantizada</t>
  </si>
  <si>
    <t>Calculo del Valor Presente de las Anualidades Garantizadas</t>
  </si>
  <si>
    <t>Factor de Descuento</t>
  </si>
  <si>
    <t>Valor Presente de la Anualidad</t>
  </si>
  <si>
    <t>SCOTIABANK</t>
  </si>
  <si>
    <t>Crédito SBI Porción A</t>
  </si>
  <si>
    <t>Proyección del Pago de la Porción A del Crédito SBI</t>
  </si>
  <si>
    <t>Tasa Interés Porción A</t>
  </si>
  <si>
    <t>Tasa Descuento</t>
  </si>
  <si>
    <t>VP Anualidades</t>
  </si>
  <si>
    <t>Anualidad</t>
  </si>
  <si>
    <t>Relación VP vs SSV</t>
  </si>
  <si>
    <t>CALCULO DE PORCION B</t>
  </si>
  <si>
    <t>Valor del inmueble</t>
  </si>
  <si>
    <t>Gastos relacionados</t>
  </si>
  <si>
    <t>Valor del inmueble al 95%</t>
  </si>
  <si>
    <t>Porción A</t>
  </si>
  <si>
    <t>Porción B</t>
  </si>
  <si>
    <t>1) Aforo max - Porción A</t>
  </si>
  <si>
    <t>A+B &lt;=95%</t>
  </si>
  <si>
    <t>2) Valor inm - Cred. Infonav - Porción A</t>
  </si>
  <si>
    <t>SB+Inf &lt;=100% (no considera SSV)</t>
  </si>
  <si>
    <t>A+B+Inf+Eng =100%</t>
  </si>
  <si>
    <t>Porción B resultante (menor entre A y B)</t>
  </si>
  <si>
    <t>% Crédito Porción A + B vs Valor del inm</t>
  </si>
  <si>
    <t>% Crédito Porción A + B + Cred Inf vs inm</t>
  </si>
  <si>
    <t>%Cred Infonavit</t>
  </si>
  <si>
    <t>%CB</t>
  </si>
  <si>
    <t>Cred. Banco aforo máximo</t>
  </si>
  <si>
    <t>%ajustes</t>
  </si>
  <si>
    <t>Cred. Banco Ajustado (A+B)</t>
  </si>
  <si>
    <t>Mensualidad</t>
  </si>
  <si>
    <t>Ingreso mínimo</t>
  </si>
  <si>
    <t>Incremento anual</t>
  </si>
  <si>
    <t>Pago al millar $</t>
  </si>
  <si>
    <t>Programa</t>
  </si>
  <si>
    <t>Tasa Valora</t>
  </si>
  <si>
    <t>Tasa aplicar</t>
  </si>
  <si>
    <t>Aportación Bimestral (Apoyo Inf)</t>
  </si>
  <si>
    <t>Tipo de comisión</t>
  </si>
  <si>
    <t>Apertura</t>
  </si>
  <si>
    <t>CAT</t>
  </si>
  <si>
    <t>Pasivo Hipotecario</t>
  </si>
  <si>
    <t>Nombre del Ejecutivo Especializado</t>
  </si>
  <si>
    <t>Teléfonos</t>
  </si>
  <si>
    <t>Ingresos min.</t>
  </si>
  <si>
    <t>Monto min.</t>
  </si>
  <si>
    <t>Monto max</t>
  </si>
  <si>
    <t>Valor min. viv.</t>
  </si>
  <si>
    <t>Valor de vivienda debajo del mínimo</t>
  </si>
  <si>
    <t>Cofinavit ajustado al 100% de los gastos</t>
  </si>
  <si>
    <t>COMISION</t>
  </si>
  <si>
    <t>AVALUO</t>
  </si>
  <si>
    <t>PRICING</t>
  </si>
  <si>
    <t>Selección</t>
  </si>
  <si>
    <t>CALCULO</t>
  </si>
  <si>
    <t>PO 20</t>
  </si>
  <si>
    <t>PO 15</t>
  </si>
  <si>
    <t>VAL 20</t>
  </si>
  <si>
    <t>VAL 15</t>
  </si>
  <si>
    <t>VAL 10</t>
  </si>
  <si>
    <t>PO 10</t>
  </si>
  <si>
    <t>PO 7</t>
  </si>
  <si>
    <t>Tasas</t>
  </si>
  <si>
    <t>ppm (cap pago)</t>
  </si>
  <si>
    <t>PTI</t>
  </si>
  <si>
    <t>Por Valor Inmueble</t>
  </si>
  <si>
    <t>Cred. max</t>
  </si>
  <si>
    <t>.</t>
  </si>
  <si>
    <t>Cred. máximo</t>
  </si>
  <si>
    <t>Gastos de originación</t>
  </si>
  <si>
    <t>Inversión cliente</t>
  </si>
  <si>
    <t>Crédito fuera de rango</t>
  </si>
  <si>
    <t>Honorarios notariales</t>
  </si>
  <si>
    <t>Crédito solicitado</t>
  </si>
  <si>
    <t>Ingresos menores al mínimo</t>
  </si>
  <si>
    <t>Com Apert</t>
  </si>
  <si>
    <t>Coms. prepago</t>
  </si>
  <si>
    <t>Crédito máximo disponible</t>
  </si>
  <si>
    <t>Nombre del Cliente</t>
  </si>
  <si>
    <t>Sucursal</t>
  </si>
  <si>
    <t>Condiciones Valora</t>
  </si>
  <si>
    <t>Cálculo de ingresos mínimpos por plazo</t>
  </si>
  <si>
    <t>Parámetros de crédito</t>
  </si>
  <si>
    <t>Enganche mínimo</t>
  </si>
  <si>
    <t>Crédito minimo</t>
  </si>
  <si>
    <t>Valor mínimo inmueble</t>
  </si>
  <si>
    <t>Condiciones Valora para cálculo de ingresos (IR 2)</t>
  </si>
  <si>
    <t>ppm (cap pago) IR 2</t>
  </si>
  <si>
    <t>Por Crédito solicitado</t>
  </si>
  <si>
    <t>Nuevo</t>
  </si>
  <si>
    <t>Tipo de Crédito</t>
  </si>
  <si>
    <t>1+</t>
  </si>
  <si>
    <t>R</t>
  </si>
  <si>
    <t>Seguros</t>
  </si>
  <si>
    <t>Vida</t>
  </si>
  <si>
    <t>Daños</t>
  </si>
  <si>
    <t>CALCULO PARA EL IMPORTE MAXIMO DE APORTACION PATRONAL</t>
  </si>
  <si>
    <t>Aportación patronal</t>
  </si>
  <si>
    <t>Aportación Patronal 5%</t>
  </si>
  <si>
    <t>No. de días del bimestre (promedio 60 días)</t>
  </si>
  <si>
    <t>Aportación Patronal bimestral</t>
  </si>
  <si>
    <r>
      <t>Tipo de Crédito: Crédito Hipotecario</t>
    </r>
    <r>
      <rPr>
        <sz val="8"/>
        <rFont val="Verdana"/>
        <family val="2"/>
      </rPr>
      <t xml:space="preserve"> </t>
    </r>
  </si>
  <si>
    <t>(Costo Anual Total)</t>
  </si>
  <si>
    <t>TASA DE INTERES</t>
  </si>
  <si>
    <t>MONTO O LINEA DE</t>
  </si>
  <si>
    <t>CRÉDITO</t>
  </si>
  <si>
    <t>Sin IVA</t>
  </si>
  <si>
    <t>Para fines</t>
  </si>
  <si>
    <t>informativos y de</t>
  </si>
  <si>
    <t>comparación</t>
  </si>
  <si>
    <t>Moneda en</t>
  </si>
  <si>
    <t>Pesos</t>
  </si>
  <si>
    <t xml:space="preserve">Mexicanos </t>
  </si>
  <si>
    <t>PLAZO DEL CRÉDITO:</t>
  </si>
  <si>
    <t>COMISIONES RELEVANTES</t>
  </si>
  <si>
    <r>
      <t>Cobranza: $350.00 más IVA por pago tardío</t>
    </r>
    <r>
      <rPr>
        <sz val="8"/>
        <rFont val="Verdana"/>
        <family val="2"/>
      </rPr>
      <t xml:space="preserve"> </t>
    </r>
  </si>
  <si>
    <t>ADVERTENCIAS</t>
  </si>
  <si>
    <t>SEGUROS</t>
  </si>
  <si>
    <t>Seguros Obligatorios:</t>
  </si>
  <si>
    <t>Aseguradora:</t>
  </si>
  <si>
    <t>Cláusulas:</t>
  </si>
  <si>
    <t>ESTADO DE CUENTA</t>
  </si>
  <si>
    <t>Aclaraciones y reclamaciones:</t>
  </si>
  <si>
    <t>Unidad Especializada de Aclaraciones:</t>
  </si>
  <si>
    <t>Domicilio: Río Usumacinta S/N, esq. con Fernando Montes de Oca, Col. La Presita, Municipio de Cuautitlán Izcalli, Estado de México, C.P. 54763</t>
  </si>
  <si>
    <t>Teléfono: (55) 5123 0990</t>
  </si>
  <si>
    <t>Correo electrónico: une@scotiabank.com.mx</t>
  </si>
  <si>
    <t xml:space="preserve">Página de Internet: www.scotiabank.com.mx </t>
  </si>
  <si>
    <t>Comisión Nacional para la Protección y Defensa de los Usuarios de Servicios Financieros (CONDUSEF):</t>
  </si>
  <si>
    <t xml:space="preserve">Teléfono: 01 800 999 8080 y 53400999. Página de Internet. www.condusef.gob.mx </t>
  </si>
  <si>
    <t>CREDIRESIDENCIAL</t>
  </si>
  <si>
    <t>CREDILIQUIDEZ</t>
  </si>
  <si>
    <t>Valor Destructible</t>
  </si>
  <si>
    <t>Comisión Manual por Apertura</t>
  </si>
  <si>
    <t>No.</t>
  </si>
  <si>
    <t>Nombre</t>
  </si>
  <si>
    <t>RECA</t>
  </si>
  <si>
    <t>Fecha de expedición</t>
  </si>
  <si>
    <t>Adquisición Pagos Oportunos</t>
  </si>
  <si>
    <t>Adquisición Con Apoyo Pagos Oportunos</t>
  </si>
  <si>
    <t>Adquisición Valora</t>
  </si>
  <si>
    <t>Adquisición Con Apoyo Valora</t>
  </si>
  <si>
    <t>Pago de Pasivos Pagos Oportunos</t>
  </si>
  <si>
    <t>Pago de Pasivos Valora</t>
  </si>
  <si>
    <t>Liquidez Vivienda Pagos Oportunos</t>
  </si>
  <si>
    <t>Liquidez Vivienda Valora</t>
  </si>
  <si>
    <t>Cofinavit Pagos Oportunos</t>
  </si>
  <si>
    <t>Cofinavit Conyugales Pagos Oportunos</t>
  </si>
  <si>
    <t>Cofinavit Valora</t>
  </si>
  <si>
    <t>Cofinavit Conyugales Valora</t>
  </si>
  <si>
    <t>Mancomunado</t>
  </si>
  <si>
    <t>Clave</t>
  </si>
  <si>
    <t>Esquema</t>
  </si>
  <si>
    <t>Tipo Crédito</t>
  </si>
  <si>
    <t>Inc. Anual</t>
  </si>
  <si>
    <t>El Aforo estará alineado al producto que se desee adquirir vs Índice de Riesgo, acorde a lo siguiente:</t>
  </si>
  <si>
    <t>IR</t>
  </si>
  <si>
    <t>Adquisición (1)</t>
  </si>
  <si>
    <t>Liquidez Vivienda Terrenos</t>
  </si>
  <si>
    <t xml:space="preserve">Construcción / Renovación II, III y IV </t>
  </si>
  <si>
    <t>Renovación I</t>
  </si>
  <si>
    <t xml:space="preserve">Empleados </t>
  </si>
  <si>
    <t>con apoyo</t>
  </si>
  <si>
    <t>sin apoyo</t>
  </si>
  <si>
    <t>Independientes</t>
  </si>
  <si>
    <t>Vivienda</t>
  </si>
  <si>
    <t>Descanso</t>
  </si>
  <si>
    <r>
      <t xml:space="preserve">Hasta el </t>
    </r>
    <r>
      <rPr>
        <b/>
        <sz val="10"/>
        <rFont val="Arial"/>
        <family val="2"/>
      </rPr>
      <t>50%</t>
    </r>
    <r>
      <rPr>
        <sz val="10"/>
        <rFont val="Arial"/>
        <family val="2"/>
      </rPr>
      <t xml:space="preserve"> de acuerdo al valor del avalúo de la garantía. </t>
    </r>
  </si>
  <si>
    <r>
      <t xml:space="preserve">Hasta el </t>
    </r>
    <r>
      <rPr>
        <b/>
        <sz val="10"/>
        <rFont val="Arial"/>
        <family val="2"/>
      </rPr>
      <t>70%</t>
    </r>
    <r>
      <rPr>
        <sz val="10"/>
        <rFont val="Arial"/>
        <family val="2"/>
      </rPr>
      <t xml:space="preserve"> de acuerdo al valor del avalúo de la garantía.</t>
    </r>
  </si>
  <si>
    <t>Cardif México Seguros Generales, S.A. de C.V.</t>
  </si>
  <si>
    <t>El cliente opta por seguros externos</t>
  </si>
  <si>
    <t xml:space="preserve">SI </t>
  </si>
  <si>
    <t>NO</t>
  </si>
  <si>
    <t>Contratación de Seguros</t>
  </si>
  <si>
    <t>Switch</t>
  </si>
  <si>
    <t>Scotiabank Inverlat, S.A., Institución de Banca Múltiple, Grupo Financiero Scotiabank Inverlat</t>
  </si>
  <si>
    <t>Fecha</t>
  </si>
  <si>
    <t>Dias</t>
  </si>
  <si>
    <t>Año actual</t>
  </si>
  <si>
    <t>Mes actual</t>
  </si>
  <si>
    <t>Día actual</t>
  </si>
  <si>
    <t>Dia/corte</t>
  </si>
  <si>
    <t>Días/Mes</t>
  </si>
  <si>
    <t>Interés mensual = Sdo inicial x tasa / 360 x # días del mes</t>
  </si>
  <si>
    <t>sumar a mes</t>
  </si>
  <si>
    <t>B) AFORO PARA CRÉDITOS MAYORES A $5,000,000:</t>
  </si>
  <si>
    <t>Para créditos que superen los 5,000,000, el Aforo máximo está en función del importe del crédito, como se indica a continuación:</t>
  </si>
  <si>
    <t>ADQUISICIÓN</t>
  </si>
  <si>
    <t>Índice de Riesgo / Rango del crédito</t>
  </si>
  <si>
    <t>Mayor a $5 MDP hasta $6.5 MDP</t>
  </si>
  <si>
    <t>Mayor a $6.5 MDP hasta $8 MDP</t>
  </si>
  <si>
    <t>Mayor a $8 MDP</t>
  </si>
  <si>
    <t xml:space="preserve">A) PORCENTAJE DE AFORO VS. PRODUCTO PARA CRÉDITOS MENORES O IGUALES A $5,000,000 </t>
  </si>
  <si>
    <t>VALORA Y PAGOS OPORTUNOS</t>
  </si>
  <si>
    <r>
      <t xml:space="preserve">Hasta el </t>
    </r>
    <r>
      <rPr>
        <b/>
        <sz val="8"/>
        <rFont val="Arial"/>
        <family val="2"/>
      </rPr>
      <t xml:space="preserve">70% </t>
    </r>
    <r>
      <rPr>
        <sz val="8"/>
        <rFont val="Arial"/>
        <family val="2"/>
      </rPr>
      <t>del valor proyectado (o de referencia) de la vivienda o el 100% del valor de construcción, el menor.</t>
    </r>
  </si>
  <si>
    <r>
      <t>Nota:</t>
    </r>
    <r>
      <rPr>
        <sz val="8"/>
        <rFont val="Arial"/>
        <family val="2"/>
      </rPr>
      <t xml:space="preserve"> en el apartado A.7 se muestra la metodología de cálculo para valor proyectado o de referencia.</t>
    </r>
  </si>
  <si>
    <t>CRÉDITOS DE CONSTRUCCIÓN Y RENOVACIÓN</t>
  </si>
  <si>
    <t>Mayor a $5 MDP Menor o igual a $6.5 MDP</t>
  </si>
  <si>
    <t>Mayor a $6.5 MDP</t>
  </si>
  <si>
    <r>
      <t>Nota:</t>
    </r>
    <r>
      <rPr>
        <sz val="10"/>
        <rFont val="Arial"/>
        <family val="2"/>
      </rPr>
      <t xml:space="preserve"> Para CrediLiquidez, el aforo será de acuerdo a la tabla del inciso A)</t>
    </r>
  </si>
  <si>
    <t>Emp. con apoyo</t>
  </si>
  <si>
    <t>Emp. Sin apoyo</t>
  </si>
  <si>
    <t>&lt;= $6.5mdp</t>
  </si>
  <si>
    <t>&lt;= $8mdp</t>
  </si>
  <si>
    <t>&gt; $8 mdp</t>
  </si>
  <si>
    <r>
      <t xml:space="preserve">Aforo para créditos </t>
    </r>
    <r>
      <rPr>
        <sz val="8"/>
        <color indexed="13"/>
        <rFont val="Arial"/>
        <family val="2"/>
      </rPr>
      <t xml:space="preserve">&lt;= </t>
    </r>
    <r>
      <rPr>
        <b/>
        <sz val="8"/>
        <color indexed="13"/>
        <rFont val="Arial"/>
        <family val="2"/>
      </rPr>
      <t>$5'000,000</t>
    </r>
    <r>
      <rPr>
        <sz val="8"/>
        <rFont val="Arial"/>
        <family val="2"/>
      </rPr>
      <t xml:space="preserve">  Valora y Pagos Oportunos</t>
    </r>
  </si>
  <si>
    <r>
      <t xml:space="preserve">Aforo p/créd </t>
    </r>
    <r>
      <rPr>
        <sz val="8"/>
        <color indexed="10"/>
        <rFont val="Arial"/>
        <family val="2"/>
      </rPr>
      <t>&gt;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$5'000,000</t>
    </r>
    <r>
      <rPr>
        <sz val="8"/>
        <rFont val="Arial"/>
        <family val="2"/>
      </rPr>
      <t xml:space="preserve">  VA y PO</t>
    </r>
  </si>
  <si>
    <t xml:space="preserve">ingreso mínimo </t>
  </si>
  <si>
    <t xml:space="preserve">Incremento anual promedio para las aportaciones = </t>
  </si>
  <si>
    <t>Actividad Económica</t>
  </si>
  <si>
    <t>Actividad Económca</t>
  </si>
  <si>
    <t>Empleado</t>
  </si>
  <si>
    <t>Rango</t>
  </si>
  <si>
    <t>Crédito Máximo posible</t>
  </si>
  <si>
    <t>- Esta cotización tiene carácter informativo, Scotiabank se reserva el derecho de cambiar cualquier condición sin previo aviso
- Este documento NO implica que el crédito ha sido autorizado, ni establece obligación alguna para Scotiabank.</t>
  </si>
  <si>
    <t xml:space="preserve">     (Crédito para vivienda)</t>
  </si>
  <si>
    <t xml:space="preserve">El avalista, obligado solidario o coacreditado responderá como obligado principal por el total del pago frente a la Institución Financiera. </t>
  </si>
  <si>
    <t>Tope de aportación patronal (Veces el SMGVDF)</t>
  </si>
  <si>
    <t>Nombre del Acreditado y/o Coacreditado:</t>
  </si>
  <si>
    <t xml:space="preserve">Contratar créditos que excedan tu capacidad de pago afecta tu historial crediticio. </t>
  </si>
  <si>
    <t>Nombre comercial del producto:</t>
  </si>
  <si>
    <t>Pasivo Hipotecario con Apoyo Infonavit</t>
  </si>
  <si>
    <t>Pago de Pasivos Pagos Oportunos con Apoyo Infonavit</t>
  </si>
  <si>
    <t>Pago de Pasivos Valora con Apoyo Infonavit</t>
  </si>
  <si>
    <t>Tasa Fija</t>
  </si>
  <si>
    <t>Tasa PO</t>
  </si>
  <si>
    <t>factor de pago - Valora</t>
  </si>
  <si>
    <t>Esquemas</t>
  </si>
  <si>
    <t>Plazo / (IR)</t>
  </si>
  <si>
    <t>PPM 20 años</t>
  </si>
  <si>
    <t>PPM 15 años</t>
  </si>
  <si>
    <t>PPM 10 años</t>
  </si>
  <si>
    <t>Inc. Anual (%)</t>
  </si>
  <si>
    <t>Pago por Mil</t>
  </si>
  <si>
    <t>10.40% </t>
  </si>
  <si>
    <t> 10.20%</t>
  </si>
  <si>
    <t> 10.00%</t>
  </si>
  <si>
    <t> 9.85%</t>
  </si>
  <si>
    <t>A aparti del 05 de abril 2017</t>
  </si>
  <si>
    <t>Pagos Oprtunos</t>
  </si>
  <si>
    <t>7x5</t>
  </si>
  <si>
    <t>Pagos Oprtunos (Versión Incorrecta)</t>
  </si>
  <si>
    <t>Crediliquidez Libre Valora</t>
  </si>
  <si>
    <t>Crediliquidez Libre Hipoteca 7X5</t>
  </si>
  <si>
    <t>Crediliquidez Libre Pagos Oportunos</t>
  </si>
  <si>
    <t>Liquidez Vivienda</t>
  </si>
  <si>
    <t>0319-138-027732/02-04095-0717</t>
  </si>
  <si>
    <t>0319-138-027733/02-04096-0717</t>
  </si>
  <si>
    <t>0319-138-027734/02-04097-0717</t>
  </si>
  <si>
    <t xml:space="preserve"> Crédito Infonavit neto </t>
  </si>
  <si>
    <t>http://mxmtyipr1as2029:90/intranet/normatividad/Manuales%20Publicados/92EF8FF4A3C8837A8625798F005DF729.aspx</t>
  </si>
  <si>
    <t>Residencial</t>
  </si>
  <si>
    <t>Preventa</t>
  </si>
  <si>
    <t>Apoyo Gobierno</t>
  </si>
  <si>
    <t>Construcción</t>
  </si>
  <si>
    <t>Liquidez</t>
  </si>
  <si>
    <t xml:space="preserve">Renovación </t>
  </si>
  <si>
    <t>Destino Libre</t>
  </si>
  <si>
    <t>Mínimo</t>
  </si>
  <si>
    <t xml:space="preserve">$250,000 MXN </t>
  </si>
  <si>
    <t>Máximo</t>
  </si>
  <si>
    <t>$8,000,000 MXN</t>
  </si>
  <si>
    <t>COFINAVIT</t>
  </si>
  <si>
    <t>FOVISSSTE</t>
  </si>
  <si>
    <t>(Alia2)</t>
  </si>
  <si>
    <t>INFONAVIT</t>
  </si>
  <si>
    <t xml:space="preserve">FOVISSSTE </t>
  </si>
  <si>
    <t>(Respalda2)</t>
  </si>
  <si>
    <t xml:space="preserve">Mínimo: </t>
  </si>
  <si>
    <r>
      <t>$ 150,000 MXN</t>
    </r>
    <r>
      <rPr>
        <sz val="9"/>
        <color indexed="8"/>
        <rFont val="Arial"/>
        <family val="2"/>
      </rPr>
      <t xml:space="preserve"> </t>
    </r>
  </si>
  <si>
    <t xml:space="preserve">Máximo: </t>
  </si>
  <si>
    <t xml:space="preserve">$5,000,000 MXN </t>
  </si>
  <si>
    <t xml:space="preserve">Mínimo </t>
  </si>
  <si>
    <t>$150,000 MXN</t>
  </si>
  <si>
    <r>
      <t xml:space="preserve">Máximo </t>
    </r>
    <r>
      <rPr>
        <b/>
        <sz val="9"/>
        <color indexed="8"/>
        <rFont val="Arial"/>
        <family val="2"/>
      </rPr>
      <t>$2,500,000 MXN</t>
    </r>
    <r>
      <rPr>
        <sz val="9"/>
        <color indexed="8"/>
        <rFont val="Arial"/>
        <family val="2"/>
      </rPr>
      <t xml:space="preserve"> </t>
    </r>
  </si>
  <si>
    <t>$100,000 MXN</t>
  </si>
  <si>
    <t>$2,500,000 MXN</t>
  </si>
  <si>
    <t>I y IV</t>
  </si>
  <si>
    <t>II y III</t>
  </si>
  <si>
    <t xml:space="preserve">$120,000 MXN </t>
  </si>
  <si>
    <t xml:space="preserve">$8,000,000 MXN </t>
  </si>
  <si>
    <t>$250,000 MXN</t>
  </si>
  <si>
    <r>
      <t xml:space="preserve">Máximo </t>
    </r>
    <r>
      <rPr>
        <b/>
        <sz val="9"/>
        <color indexed="8"/>
        <rFont val="Arial"/>
        <family val="2"/>
      </rPr>
      <t xml:space="preserve">$5,000,000 </t>
    </r>
  </si>
  <si>
    <t>A.6 Monto mínimo y máximo del préstamo</t>
  </si>
  <si>
    <t>A.7 Valor mínimo y máximo del inmueble</t>
  </si>
  <si>
    <t>Valor mínimo del inmueble</t>
  </si>
  <si>
    <t>FOVISSSTE (Alia2 /Respalda2)</t>
  </si>
  <si>
    <t>*Residencial</t>
  </si>
  <si>
    <t>Apoyo INFONAVIT</t>
  </si>
  <si>
    <t>Liquidez (Vivienda y destino libre)</t>
  </si>
  <si>
    <t>Renovación I, II, III, IV</t>
  </si>
  <si>
    <t>Sustitución de deudor</t>
  </si>
  <si>
    <t>MEX, GDL, MTY</t>
  </si>
  <si>
    <t>$300,000 MXN</t>
  </si>
  <si>
    <t>Resto del país</t>
  </si>
  <si>
    <t>$275,000 MXN</t>
  </si>
  <si>
    <t>$400,000 MXN</t>
  </si>
  <si>
    <t>$1,000,000 MXN</t>
  </si>
  <si>
    <t>$750,000 MXN</t>
  </si>
  <si>
    <t>No aplica</t>
  </si>
  <si>
    <t xml:space="preserve">A.16 Comisiones y Gastos </t>
  </si>
  <si>
    <r>
      <t>Al momento de aperturar el crédito, el cliente cuenta con dos opciones para el pago de la comisión son las siguientes:</t>
    </r>
    <r>
      <rPr>
        <sz val="9"/>
        <color indexed="8"/>
        <rFont val="Times New Roman"/>
        <family val="1"/>
      </rPr>
      <t xml:space="preserve"> </t>
    </r>
  </si>
  <si>
    <t>Opción</t>
  </si>
  <si>
    <t>A) Comisión de Apertura</t>
  </si>
  <si>
    <t>B) Comisión por Prepago</t>
  </si>
  <si>
    <t xml:space="preserve">Valora y </t>
  </si>
  <si>
    <t>Opción 1</t>
  </si>
  <si>
    <t>Ver tabla #1</t>
  </si>
  <si>
    <t>Opción 2</t>
  </si>
  <si>
    <r>
      <t>3.00% + IVA</t>
    </r>
    <r>
      <rPr>
        <sz val="9"/>
        <color indexed="8"/>
        <rFont val="Arial"/>
        <family val="2"/>
      </rPr>
      <t xml:space="preserve"> </t>
    </r>
  </si>
  <si>
    <t>Hipoteca 7x5 (Única)</t>
  </si>
  <si>
    <t>Sin comisión por pre-pago</t>
  </si>
  <si>
    <r>
      <t>Tabla #1</t>
    </r>
    <r>
      <rPr>
        <sz val="9"/>
        <color indexed="8"/>
        <rFont val="Times New Roman"/>
        <family val="1"/>
      </rPr>
      <t xml:space="preserve"> </t>
    </r>
  </si>
  <si>
    <t>Adquisición</t>
  </si>
  <si>
    <t>CrediRenovación I,II,III,IV</t>
  </si>
  <si>
    <t xml:space="preserve">Cofinanciamiento </t>
  </si>
  <si>
    <t>Alia2</t>
  </si>
  <si>
    <t>CrediLiquidez Libre</t>
  </si>
  <si>
    <t>Switch Hipotecario (Pago de Pasivos)</t>
  </si>
  <si>
    <t>CrediRenovación III</t>
  </si>
  <si>
    <t>1.00% por cada ministración</t>
  </si>
  <si>
    <t>2% más IVA, financiable a elección del cliente</t>
  </si>
  <si>
    <r>
      <t>Financiable a elección del client</t>
    </r>
    <r>
      <rPr>
        <b/>
        <sz val="9"/>
        <color indexed="8"/>
        <rFont val="Arial"/>
        <family val="2"/>
      </rPr>
      <t>e</t>
    </r>
  </si>
  <si>
    <t>Comisión por apertura especial</t>
  </si>
  <si>
    <t>Del 0.50%</t>
  </si>
  <si>
    <t>Aplica para:</t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</si>
  <si>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Nominatarios</t>
    </r>
    <r>
      <rPr>
        <sz val="9"/>
        <color indexed="8"/>
        <rFont val="Times New Roman"/>
        <family val="1"/>
      </rPr>
      <t xml:space="preserve">. </t>
    </r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</si>
  <si>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Clientes de Casa de Bolsa y Banca Patrimonial. </t>
    </r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</si>
  <si>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Inversionistas en Pagarés.</t>
    </r>
    <r>
      <rPr>
        <sz val="9"/>
        <color indexed="8"/>
        <rFont val="Times New Roman"/>
        <family val="1"/>
      </rPr>
      <t xml:space="preserve"> </t>
    </r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</si>
  <si>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Inversión igual o mayor a $200,000. Deberá estar vigente al momento de la firma y tener una duración mínima de 3 meses, previo a la firma del crédito o contratada a un plazo que garantice la duración mínima (por ejemplo, un pagaré a 91 días). </t>
    </r>
  </si>
  <si>
    <r>
      <t>·</t>
    </r>
    <r>
      <rPr>
        <sz val="9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La inversión en pagaré se podrá comprobar mediante el estado de cuenta del cliente.</t>
    </r>
  </si>
  <si>
    <r>
      <t> </t>
    </r>
    <r>
      <rPr>
        <sz val="8"/>
        <rFont val="Calibri"/>
        <family val="2"/>
      </rPr>
      <t xml:space="preserve"> </t>
    </r>
  </si>
  <si>
    <t>Consideraciones Especiales para Comisión por apertura:</t>
  </si>
  <si>
    <r>
      <t xml:space="preserve">Para Hipoteca 7x5 (Única) no aplica </t>
    </r>
    <r>
      <rPr>
        <b/>
        <sz val="9"/>
        <color indexed="8"/>
        <rFont val="Arial"/>
        <family val="2"/>
      </rPr>
      <t xml:space="preserve">Comisión por apertura </t>
    </r>
    <r>
      <rPr>
        <sz val="9"/>
        <color indexed="8"/>
        <rFont val="Arial"/>
        <family val="2"/>
      </rPr>
      <t>para:</t>
    </r>
    <r>
      <rPr>
        <sz val="9"/>
        <color indexed="8"/>
        <rFont val="Times New Roman"/>
        <family val="1"/>
      </rPr>
      <t xml:space="preserve"> </t>
    </r>
  </si>
  <si>
    <t xml:space="preserve">créditos con plazo a 5 años, </t>
  </si>
  <si>
    <r>
      <t>clientes de Casa de Bolsa y Banca Patrimonial</t>
    </r>
    <r>
      <rPr>
        <sz val="9"/>
        <color indexed="8"/>
        <rFont val="Times New Roman"/>
        <family val="1"/>
      </rPr>
      <t xml:space="preserve"> </t>
    </r>
  </si>
  <si>
    <t>clientes Premium</t>
  </si>
  <si>
    <r>
      <t xml:space="preserve">Para Switch Hipotecario no aplica la </t>
    </r>
    <r>
      <rPr>
        <b/>
        <sz val="9"/>
        <color indexed="8"/>
        <rFont val="Arial"/>
        <family val="2"/>
      </rPr>
      <t>Comisión por apertura especial</t>
    </r>
    <r>
      <rPr>
        <sz val="9"/>
        <color indexed="8"/>
        <rFont val="Arial"/>
        <family val="2"/>
      </rPr>
      <t xml:space="preserve"> del 0.50%, para:</t>
    </r>
    <r>
      <rPr>
        <sz val="9"/>
        <color indexed="8"/>
        <rFont val="Times New Roman"/>
        <family val="1"/>
      </rPr>
      <t xml:space="preserve"> </t>
    </r>
  </si>
  <si>
    <r>
      <t>nominatarios</t>
    </r>
    <r>
      <rPr>
        <sz val="9"/>
        <color indexed="8"/>
        <rFont val="Times New Roman"/>
        <family val="1"/>
      </rPr>
      <t xml:space="preserve"> </t>
    </r>
  </si>
  <si>
    <r>
      <t>clientes de Casa de Bolsa y Patrimonial</t>
    </r>
    <r>
      <rPr>
        <sz val="9"/>
        <color indexed="8"/>
        <rFont val="Times New Roman"/>
        <family val="1"/>
      </rPr>
      <t xml:space="preserve"> </t>
    </r>
  </si>
  <si>
    <t>inversionistas en pagarés</t>
  </si>
  <si>
    <r>
      <t> </t>
    </r>
    <r>
      <rPr>
        <sz val="9"/>
        <color indexed="8"/>
        <rFont val="Arial"/>
        <family val="2"/>
      </rPr>
      <t xml:space="preserve">Para CrediLiquidez  Libre no aplica la </t>
    </r>
    <r>
      <rPr>
        <b/>
        <sz val="9"/>
        <color indexed="8"/>
        <rFont val="Arial"/>
        <family val="2"/>
      </rPr>
      <t>Comisión por apertura </t>
    </r>
    <r>
      <rPr>
        <sz val="9"/>
        <color indexed="8"/>
        <rFont val="Arial"/>
        <family val="2"/>
      </rPr>
      <t>para:</t>
    </r>
    <r>
      <rPr>
        <sz val="9"/>
        <color indexed="8"/>
        <rFont val="Times New Roman"/>
        <family val="1"/>
      </rPr>
      <t xml:space="preserve"> </t>
    </r>
  </si>
  <si>
    <r>
      <t>o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clientes que hayan liquidado previamente una hipoteca con Scotiabank</t>
    </r>
  </si>
  <si>
    <t>B) Comisión por pre-pago</t>
  </si>
  <si>
    <t>Aplica solo cuando el solicitante haya escogido la modalidad de Pre-pago en lugar de pagar la Comisión de Apertura al frente</t>
  </si>
  <si>
    <t>Visión General del Manual de Créditos al Menudeo, Crédito Hipotecario</t>
  </si>
  <si>
    <t>Salario diario nominal (enero 2018)</t>
  </si>
  <si>
    <t xml:space="preserve">Carátula de Crédito </t>
  </si>
  <si>
    <t>ANUAL ORDINARIA</t>
  </si>
  <si>
    <t>MONTO TOTAL A PAGAR O</t>
  </si>
  <si>
    <t>MINIMO A PAGAR</t>
  </si>
  <si>
    <r>
      <rPr>
        <b/>
        <sz val="8"/>
        <rFont val="Verdana"/>
        <family val="2"/>
      </rPr>
      <t xml:space="preserve">Fecha de corte: </t>
    </r>
    <r>
      <rPr>
        <sz val="8"/>
        <rFont val="Verdana"/>
        <family val="2"/>
      </rPr>
      <t xml:space="preserve">
Si tu fecha de disposición es entre el dia 3 y 16, tu fecha de corte será el día 3 de cada mes. 
Si tu fecha de disposición es entre el día 17 y 2, tu fecha de corte será el día 17 de cada mes.</t>
    </r>
  </si>
  <si>
    <t xml:space="preserve">Incumplir tus obligaciones te puede generar comisiones e intereses moratorios. </t>
  </si>
  <si>
    <r>
      <rPr>
        <b/>
        <sz val="8"/>
        <rFont val="Verdana"/>
        <family val="2"/>
      </rPr>
      <t xml:space="preserve">Fecha Límite de pago: </t>
    </r>
    <r>
      <rPr>
        <sz val="8"/>
        <rFont val="Verdana"/>
        <family val="2"/>
      </rPr>
      <t xml:space="preserve">
Si tu fecha de corte es el día 3, tu fecha de pago es el día 3 de cada mes. 
Si tu fecha de corte es el día 17, tu fecha de pago es el día 17 de cada mes. </t>
    </r>
  </si>
  <si>
    <r>
      <t xml:space="preserve">Enviar a Domicilio </t>
    </r>
    <r>
      <rPr>
        <u val="single"/>
        <sz val="10"/>
        <rFont val="Wingdings"/>
        <family val="0"/>
      </rPr>
      <t>ü</t>
    </r>
    <r>
      <rPr>
        <sz val="8"/>
        <rFont val="Verdana"/>
        <family val="2"/>
      </rPr>
      <t xml:space="preserve">              Consulta vía Internet ___            Envio por Correo Electrónico ___</t>
    </r>
  </si>
  <si>
    <t>LTI</t>
  </si>
  <si>
    <t>Empleado sin apoyo (1=SI 0=NO)</t>
  </si>
  <si>
    <t>Valora por IR y PO todo</t>
  </si>
  <si>
    <t>-</t>
  </si>
  <si>
    <t>Rango de Política por monto máximo</t>
  </si>
  <si>
    <t>Cardif México Seguros de Vida,          S.A. de C.V.</t>
  </si>
  <si>
    <t>Vigésima Cuarta</t>
  </si>
  <si>
    <t>Daños, Responsabilidad Civil y           Desempleo</t>
  </si>
  <si>
    <t>ppm mcdo abierto</t>
  </si>
  <si>
    <t>ppm pago de pasivos</t>
  </si>
  <si>
    <t>Tasa inicio</t>
  </si>
  <si>
    <t>Para otras comisiones consulte la cláusula décimo tercera</t>
  </si>
  <si>
    <t>PAGO DE PASIVOS</t>
  </si>
  <si>
    <t>TASA PISO</t>
  </si>
  <si>
    <t xml:space="preserve">TASA TECHO </t>
  </si>
  <si>
    <t>PPM</t>
  </si>
  <si>
    <t>PLAZO</t>
  </si>
  <si>
    <t>RELACIÓN RECAS GENERADOS EL 21 DE DICIEMBRE DE 2020</t>
  </si>
  <si>
    <t>0319-138-007464/17-04445-1220</t>
  </si>
  <si>
    <t>0319-138-007465/16-04446-1220</t>
  </si>
  <si>
    <t>0319-138-007466/18-04447-1220</t>
  </si>
  <si>
    <t>0319-138-007467/16-04448-1220</t>
  </si>
  <si>
    <t>0319-138-007480/17-04457-1220</t>
  </si>
  <si>
    <t>0319-138-007481/17-04458-1220</t>
  </si>
  <si>
    <t>0319-138-007482/17-04459-1220</t>
  </si>
  <si>
    <t>0319-138-007483/17-04460-1220</t>
  </si>
  <si>
    <t>0319-138-007486/19-04469-1220</t>
  </si>
  <si>
    <t>0319-138-007487/19-04470-1220</t>
  </si>
  <si>
    <t>0319-138-007488/20-04471-1220</t>
  </si>
  <si>
    <t>0319-138-007489/19-04472-1220</t>
  </si>
  <si>
    <t>0319-138-024405/08-04473-1220</t>
  </si>
  <si>
    <t>0319-138-024404/08-04474-1220</t>
  </si>
  <si>
    <t>v02.2021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</si>
</sst>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  <numFmt numFmtId="170" formatCode="_(&quot;$&quot;* #,##0_);_(&quot;$&quot;* \(#,##0.00\);_(&quot;$&quot;* &quot;-&quot;??_);_(@_)"/>
    <numFmt numFmtId="171" formatCode="#,##0.000"/>
    <numFmt numFmtId="172" formatCode="0.000%"/>
    <numFmt numFmtId="173" formatCode="mmmm\ d\,\ yyyy"/>
    <numFmt numFmtId="174" formatCode="&quot;$&quot;#,##0.00"/>
    <numFmt numFmtId="175" formatCode="#,##0.00;[Red]#,##0.00"/>
    <numFmt numFmtId="176" formatCode="_-* #,##0_-;\-* #,##0_-;_-* &quot;-&quot;??_-;_-@_-"/>
    <numFmt numFmtId="177" formatCode="_(* #,##0.0000_);_(* \(#,##0.0000\);_(* &quot;-&quot;??_);_(@_)"/>
    <numFmt numFmtId="178" formatCode="0.00000%"/>
    <numFmt numFmtId="179" formatCode="[$$-80A]#,##0.00;\-[$$-80A]#,##0.00"/>
    <numFmt numFmtId="180" formatCode="_(* #,##0.00000_);_(* \(#,##0.00000\);_(* &quot;-&quot;??_);_(@_)"/>
    <numFmt numFmtId="181" formatCode="0.000000000%"/>
    <numFmt numFmtId="182" formatCode="_(* #,##0.0000000_);_(* \(#,##0.0000000\);_(* &quot;-&quot;??_);_(@_)"/>
    <numFmt numFmtId="183" formatCode="_(* #,##0.000_);_(* \(#,##0.000\);_(* &quot;-&quot;??_);_(@_)"/>
    <numFmt numFmtId="184" formatCode="_(* #,##0.00000000_);_(* \(#,##0.00000000\);_(* &quot;-&quot;??_);_(@_)"/>
    <numFmt numFmtId="185" formatCode="0.00000000"/>
    <numFmt numFmtId="186" formatCode="0.0000"/>
    <numFmt numFmtId="187" formatCode="_(* #,##0.000000000_);_(* \(#,##0.000000000\);_(* &quot;-&quot;??_);_(@_)"/>
    <numFmt numFmtId="188" formatCode="[$$-80A]#,##0;\-[$$-80A]#,##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d&quot; de &quot;mmmm&quot; de &quot;yyyy"/>
    <numFmt numFmtId="194" formatCode="[$-80A]hh:mm:ss\ AM/PM"/>
    <numFmt numFmtId="195" formatCode="0.0000%"/>
    <numFmt numFmtId="196" formatCode="_(* #,##0.000000_);_(* \(#,##0.000000\);_(* &quot;-&quot;??_);_(@_)"/>
  </numFmts>
  <fonts count="16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i/>
      <sz val="11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"/>
      <family val="2"/>
    </font>
    <font>
      <strike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i/>
      <sz val="8"/>
      <name val="Verdana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name val="Wingdings"/>
      <family val="0"/>
    </font>
    <font>
      <sz val="8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b/>
      <sz val="9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b/>
      <i/>
      <u val="single"/>
      <sz val="8"/>
      <color indexed="10"/>
      <name val="Arial"/>
      <family val="2"/>
    </font>
    <font>
      <strike/>
      <sz val="8"/>
      <color indexed="30"/>
      <name val="Arial"/>
      <family val="2"/>
    </font>
    <font>
      <b/>
      <i/>
      <sz val="12"/>
      <color indexed="9"/>
      <name val="Arial"/>
      <family val="2"/>
    </font>
    <font>
      <sz val="10"/>
      <color indexed="57"/>
      <name val="Arial"/>
      <family val="2"/>
    </font>
    <font>
      <b/>
      <sz val="8"/>
      <color indexed="9"/>
      <name val="Arial"/>
      <family val="2"/>
    </font>
    <font>
      <sz val="6"/>
      <color indexed="9"/>
      <name val="Calibri"/>
      <family val="2"/>
    </font>
    <font>
      <sz val="11"/>
      <color indexed="49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3"/>
      <name val="Arial"/>
      <family val="2"/>
    </font>
    <font>
      <sz val="8"/>
      <color indexed="10"/>
      <name val="Calibri"/>
      <family val="2"/>
    </font>
    <font>
      <sz val="7"/>
      <color indexed="10"/>
      <name val="Arial"/>
      <family val="2"/>
    </font>
    <font>
      <b/>
      <sz val="10"/>
      <color indexed="13"/>
      <name val="Arial"/>
      <family val="2"/>
    </font>
    <font>
      <sz val="11"/>
      <color indexed="63"/>
      <name val="Calibri"/>
      <family val="2"/>
    </font>
    <font>
      <i/>
      <sz val="8"/>
      <color indexed="23"/>
      <name val="Calibri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Arial"/>
      <family val="2"/>
    </font>
    <font>
      <b/>
      <sz val="8"/>
      <color indexed="23"/>
      <name val="Calibri"/>
      <family val="2"/>
    </font>
    <font>
      <sz val="8"/>
      <color indexed="23"/>
      <name val="Calibri"/>
      <family val="2"/>
    </font>
    <font>
      <b/>
      <sz val="8"/>
      <color indexed="8"/>
      <name val="Arial"/>
      <family val="2"/>
    </font>
    <font>
      <sz val="10"/>
      <color indexed="8"/>
      <name val="Courier New"/>
      <family val="3"/>
    </font>
    <font>
      <b/>
      <sz val="8"/>
      <color indexed="62"/>
      <name val="Arial"/>
      <family val="2"/>
    </font>
    <font>
      <sz val="8"/>
      <color indexed="8"/>
      <name val="Verdana"/>
      <family val="2"/>
    </font>
    <font>
      <sz val="8"/>
      <color indexed="26"/>
      <name val="Arial"/>
      <family val="2"/>
    </font>
    <font>
      <sz val="8"/>
      <color indexed="29"/>
      <name val="Arial"/>
      <family val="2"/>
    </font>
    <font>
      <b/>
      <sz val="14"/>
      <color indexed="9"/>
      <name val="Calibri"/>
      <family val="2"/>
    </font>
    <font>
      <sz val="9"/>
      <color indexed="8"/>
      <name val="Symbol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1"/>
      <color rgb="FFFF0000"/>
      <name val="Arial"/>
      <family val="2"/>
    </font>
    <font>
      <b/>
      <i/>
      <u val="single"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0"/>
      <name val="Arial"/>
      <family val="2"/>
    </font>
    <font>
      <b/>
      <i/>
      <u val="single"/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C00000"/>
      <name val="Arial"/>
      <family val="2"/>
    </font>
    <font>
      <strike/>
      <sz val="8"/>
      <color rgb="FF0070C0"/>
      <name val="Arial"/>
      <family val="2"/>
    </font>
    <font>
      <b/>
      <i/>
      <sz val="12"/>
      <color theme="0"/>
      <name val="Arial"/>
      <family val="2"/>
    </font>
    <font>
      <sz val="10"/>
      <color theme="3"/>
      <name val="Arial"/>
      <family val="2"/>
    </font>
    <font>
      <b/>
      <sz val="8"/>
      <color theme="0"/>
      <name val="Arial"/>
      <family val="2"/>
    </font>
    <font>
      <sz val="6"/>
      <color theme="0"/>
      <name val="Calibri"/>
      <family val="2"/>
    </font>
    <font>
      <b/>
      <sz val="8"/>
      <color rgb="FFFFFF00"/>
      <name val="Arial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FFFF00"/>
      <name val="Arial"/>
      <family val="2"/>
    </font>
    <font>
      <sz val="8"/>
      <color rgb="FFFFC000"/>
      <name val="Arial"/>
      <family val="2"/>
    </font>
    <font>
      <sz val="8"/>
      <color rgb="FFFFFF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Calibri"/>
      <family val="2"/>
    </font>
    <font>
      <sz val="7"/>
      <color rgb="FFFF0000"/>
      <name val="Arial"/>
      <family val="2"/>
    </font>
    <font>
      <b/>
      <sz val="10"/>
      <color rgb="FFFFFF00"/>
      <name val="Arial"/>
      <family val="2"/>
    </font>
    <font>
      <b/>
      <sz val="11"/>
      <color rgb="FFFFFFFF"/>
      <name val="Calibri"/>
      <family val="2"/>
    </font>
    <font>
      <b/>
      <sz val="11"/>
      <color rgb="FF404040"/>
      <name val="Calibri"/>
      <family val="2"/>
    </font>
    <font>
      <sz val="11"/>
      <color rgb="FF404040"/>
      <name val="Calibri"/>
      <family val="2"/>
    </font>
    <font>
      <b/>
      <sz val="11"/>
      <color rgb="FFFF0000"/>
      <name val="Calibri"/>
      <family val="2"/>
    </font>
    <font>
      <i/>
      <sz val="8"/>
      <color theme="0" tint="-0.4999699890613556"/>
      <name val="Calibri"/>
      <family val="2"/>
    </font>
    <font>
      <b/>
      <sz val="8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Courier New"/>
      <family val="3"/>
    </font>
    <font>
      <b/>
      <sz val="8"/>
      <color rgb="FF7030A0"/>
      <name val="Arial"/>
      <family val="2"/>
    </font>
    <font>
      <sz val="8"/>
      <color theme="1"/>
      <name val="Verdana"/>
      <family val="2"/>
    </font>
    <font>
      <sz val="8"/>
      <color theme="9" tint="0.7999799847602844"/>
      <name val="Arial"/>
      <family val="2"/>
    </font>
    <font>
      <sz val="8"/>
      <color theme="9" tint="0.39998000860214233"/>
      <name val="Arial"/>
      <family val="2"/>
    </font>
    <font>
      <b/>
      <sz val="14"/>
      <color theme="0"/>
      <name val="Calibri"/>
      <family val="2"/>
    </font>
    <font>
      <sz val="9"/>
      <color rgb="FF000000"/>
      <name val="Symbol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FEFE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thick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>
        <color rgb="FF0070C0"/>
      </left>
      <right/>
      <top style="medium">
        <color rgb="FF0070C0"/>
      </top>
      <bottom/>
    </border>
    <border>
      <left/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/>
    </border>
    <border>
      <left/>
      <right style="medium">
        <color rgb="FF0070C0"/>
      </right>
      <top/>
      <bottom/>
    </border>
    <border>
      <left style="medium">
        <color rgb="FF0070C0"/>
      </left>
      <right/>
      <top/>
      <bottom style="medium">
        <color rgb="FF0070C0"/>
      </bottom>
    </border>
    <border>
      <left/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 style="medium"/>
      <top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0070C0"/>
      </right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/>
      <bottom style="thick">
        <color rgb="FFFFFFFF"/>
      </bottom>
    </border>
    <border>
      <left/>
      <right style="thick">
        <color rgb="FFFFFFFF"/>
      </right>
      <top/>
      <bottom/>
    </border>
    <border>
      <left/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medium"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/>
      <right style="medium"/>
      <top>
        <color indexed="63"/>
      </top>
      <bottom style="thin">
        <color rgb="FF00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0" applyNumberFormat="0" applyBorder="0" applyAlignment="0" applyProtection="0"/>
    <xf numFmtId="0" fontId="97" fillId="21" borderId="1" applyNumberFormat="0" applyAlignment="0" applyProtection="0"/>
    <xf numFmtId="0" fontId="98" fillId="22" borderId="2" applyNumberFormat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0" applyNumberFormat="0" applyFill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2" fillId="29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01" fillId="0" borderId="8" applyNumberFormat="0" applyFill="0" applyAlignment="0" applyProtection="0"/>
    <xf numFmtId="0" fontId="112" fillId="0" borderId="9" applyNumberFormat="0" applyFill="0" applyAlignment="0" applyProtection="0"/>
  </cellStyleXfs>
  <cellXfs count="85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168" fontId="3" fillId="0" borderId="0" xfId="49" applyNumberFormat="1" applyFont="1" applyAlignment="1" applyProtection="1">
      <alignment/>
      <protection hidden="1"/>
    </xf>
    <xf numFmtId="168" fontId="3" fillId="0" borderId="0" xfId="49" applyNumberFormat="1" applyFont="1" applyFill="1" applyAlignment="1" applyProtection="1">
      <alignment/>
      <protection hidden="1"/>
    </xf>
    <xf numFmtId="168" fontId="3" fillId="0" borderId="10" xfId="49" applyNumberFormat="1" applyFont="1" applyFill="1" applyBorder="1" applyAlignment="1" applyProtection="1">
      <alignment/>
      <protection hidden="1"/>
    </xf>
    <xf numFmtId="168" fontId="3" fillId="0" borderId="11" xfId="49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168" fontId="2" fillId="0" borderId="0" xfId="49" applyNumberFormat="1" applyFont="1" applyFill="1" applyBorder="1" applyAlignment="1" applyProtection="1">
      <alignment horizontal="right"/>
      <protection hidden="1"/>
    </xf>
    <xf numFmtId="168" fontId="3" fillId="0" borderId="0" xfId="49" applyNumberFormat="1" applyFont="1" applyFill="1" applyBorder="1" applyAlignment="1" applyProtection="1">
      <alignment horizontal="center"/>
      <protection hidden="1"/>
    </xf>
    <xf numFmtId="164" fontId="3" fillId="0" borderId="0" xfId="49" applyNumberFormat="1" applyFont="1" applyFill="1" applyBorder="1" applyAlignment="1" applyProtection="1">
      <alignment horizontal="centerContinuous"/>
      <protection hidden="1"/>
    </xf>
    <xf numFmtId="0" fontId="3" fillId="0" borderId="0" xfId="0" applyFont="1" applyFill="1" applyBorder="1" applyAlignment="1" applyProtection="1" quotePrefix="1">
      <alignment horizontal="left"/>
      <protection/>
    </xf>
    <xf numFmtId="168" fontId="3" fillId="0" borderId="11" xfId="49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/>
      <protection/>
    </xf>
    <xf numFmtId="176" fontId="3" fillId="0" borderId="0" xfId="49" applyNumberFormat="1" applyFont="1" applyFill="1" applyAlignment="1" applyProtection="1">
      <alignment/>
      <protection hidden="1"/>
    </xf>
    <xf numFmtId="1" fontId="3" fillId="0" borderId="0" xfId="0" applyNumberFormat="1" applyFont="1" applyFill="1" applyAlignment="1" applyProtection="1">
      <alignment/>
      <protection hidden="1"/>
    </xf>
    <xf numFmtId="168" fontId="3" fillId="0" borderId="13" xfId="49" applyNumberFormat="1" applyFont="1" applyFill="1" applyBorder="1" applyAlignment="1" applyProtection="1">
      <alignment/>
      <protection hidden="1"/>
    </xf>
    <xf numFmtId="168" fontId="3" fillId="0" borderId="14" xfId="49" applyNumberFormat="1" applyFont="1" applyFill="1" applyBorder="1" applyAlignment="1" applyProtection="1">
      <alignment/>
      <protection hidden="1"/>
    </xf>
    <xf numFmtId="168" fontId="2" fillId="0" borderId="11" xfId="49" applyNumberFormat="1" applyFont="1" applyFill="1" applyBorder="1" applyAlignment="1" applyProtection="1">
      <alignment horizontal="center" vertical="center" wrapText="1"/>
      <protection/>
    </xf>
    <xf numFmtId="3" fontId="3" fillId="0" borderId="11" xfId="57" applyNumberFormat="1" applyFont="1" applyFill="1" applyBorder="1" applyAlignment="1" applyProtection="1">
      <alignment horizontal="right"/>
      <protection/>
    </xf>
    <xf numFmtId="10" fontId="3" fillId="0" borderId="14" xfId="49" applyNumberFormat="1" applyFont="1" applyFill="1" applyBorder="1" applyAlignment="1" applyProtection="1">
      <alignment/>
      <protection hidden="1"/>
    </xf>
    <xf numFmtId="168" fontId="3" fillId="0" borderId="11" xfId="49" applyNumberFormat="1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wrapText="1"/>
      <protection hidden="1"/>
    </xf>
    <xf numFmtId="168" fontId="3" fillId="0" borderId="11" xfId="49" applyNumberFormat="1" applyFont="1" applyFill="1" applyBorder="1" applyAlignment="1" applyProtection="1">
      <alignment horizontal="right" wrapText="1"/>
      <protection/>
    </xf>
    <xf numFmtId="170" fontId="2" fillId="0" borderId="11" xfId="49" applyNumberFormat="1" applyFont="1" applyFill="1" applyBorder="1" applyAlignment="1" applyProtection="1">
      <alignment/>
      <protection/>
    </xf>
    <xf numFmtId="168" fontId="2" fillId="0" borderId="11" xfId="49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hidden="1"/>
    </xf>
    <xf numFmtId="168" fontId="3" fillId="0" borderId="0" xfId="49" applyNumberFormat="1" applyFont="1" applyFill="1" applyBorder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/>
      <protection hidden="1"/>
    </xf>
    <xf numFmtId="168" fontId="3" fillId="0" borderId="15" xfId="0" applyNumberFormat="1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177" fontId="3" fillId="0" borderId="10" xfId="49" applyNumberFormat="1" applyFont="1" applyFill="1" applyBorder="1" applyAlignment="1" applyProtection="1">
      <alignment/>
      <protection/>
    </xf>
    <xf numFmtId="168" fontId="3" fillId="0" borderId="10" xfId="49" applyNumberFormat="1" applyFont="1" applyFill="1" applyBorder="1" applyAlignment="1" applyProtection="1">
      <alignment/>
      <protection locked="0"/>
    </xf>
    <xf numFmtId="168" fontId="3" fillId="0" borderId="10" xfId="49" applyNumberFormat="1" applyFont="1" applyFill="1" applyBorder="1" applyAlignment="1" applyProtection="1">
      <alignment/>
      <protection/>
    </xf>
    <xf numFmtId="176" fontId="3" fillId="0" borderId="10" xfId="49" applyNumberFormat="1" applyFont="1" applyFill="1" applyBorder="1" applyAlignment="1" applyProtection="1">
      <alignment/>
      <protection hidden="1"/>
    </xf>
    <xf numFmtId="1" fontId="3" fillId="0" borderId="10" xfId="0" applyNumberFormat="1" applyFont="1" applyFill="1" applyBorder="1" applyAlignment="1" applyProtection="1">
      <alignment/>
      <protection hidden="1"/>
    </xf>
    <xf numFmtId="10" fontId="3" fillId="0" borderId="16" xfId="49" applyNumberFormat="1" applyFont="1" applyFill="1" applyBorder="1" applyAlignment="1" applyProtection="1">
      <alignment/>
      <protection hidden="1"/>
    </xf>
    <xf numFmtId="10" fontId="3" fillId="0" borderId="10" xfId="57" applyNumberFormat="1" applyFont="1" applyFill="1" applyBorder="1" applyAlignment="1" applyProtection="1">
      <alignment/>
      <protection hidden="1"/>
    </xf>
    <xf numFmtId="168" fontId="3" fillId="0" borderId="17" xfId="49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8" fontId="7" fillId="0" borderId="0" xfId="49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0" xfId="49" applyNumberFormat="1" applyFont="1" applyFill="1" applyBorder="1" applyAlignment="1" applyProtection="1">
      <alignment horizontal="left"/>
      <protection hidden="1"/>
    </xf>
    <xf numFmtId="164" fontId="3" fillId="0" borderId="0" xfId="49" applyNumberFormat="1" applyFont="1" applyFill="1" applyBorder="1" applyAlignment="1" applyProtection="1">
      <alignment horizontal="right"/>
      <protection hidden="1"/>
    </xf>
    <xf numFmtId="168" fontId="3" fillId="33" borderId="0" xfId="49" applyNumberFormat="1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168" fontId="3" fillId="0" borderId="0" xfId="49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173" fontId="2" fillId="0" borderId="0" xfId="49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3" fontId="2" fillId="0" borderId="0" xfId="49" applyNumberFormat="1" applyFont="1" applyBorder="1" applyAlignment="1" applyProtection="1">
      <alignment horizontal="left"/>
      <protection hidden="1"/>
    </xf>
    <xf numFmtId="168" fontId="2" fillId="0" borderId="0" xfId="49" applyNumberFormat="1" applyFont="1" applyBorder="1" applyAlignment="1" applyProtection="1">
      <alignment/>
      <protection hidden="1"/>
    </xf>
    <xf numFmtId="168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6" fontId="3" fillId="0" borderId="0" xfId="49" applyNumberFormat="1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 hidden="1" locked="0"/>
    </xf>
    <xf numFmtId="0" fontId="3" fillId="0" borderId="20" xfId="0" applyFont="1" applyBorder="1" applyAlignment="1" applyProtection="1" quotePrefix="1">
      <alignment/>
      <protection hidden="1"/>
    </xf>
    <xf numFmtId="169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4" fontId="3" fillId="0" borderId="0" xfId="52" applyNumberFormat="1" applyFont="1" applyFill="1" applyAlignment="1" applyProtection="1">
      <alignment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/>
    </xf>
    <xf numFmtId="10" fontId="3" fillId="0" borderId="0" xfId="57" applyNumberFormat="1" applyFont="1" applyFill="1" applyBorder="1" applyAlignment="1" applyProtection="1">
      <alignment/>
      <protection locked="0"/>
    </xf>
    <xf numFmtId="168" fontId="113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hidden="1"/>
    </xf>
    <xf numFmtId="168" fontId="6" fillId="0" borderId="0" xfId="49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 quotePrefix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65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1" xfId="0" applyFont="1" applyFill="1" applyBorder="1" applyAlignment="1" applyProtection="1">
      <alignment horizontal="left"/>
      <protection hidden="1"/>
    </xf>
    <xf numFmtId="0" fontId="5" fillId="0" borderId="22" xfId="0" applyFont="1" applyFill="1" applyBorder="1" applyAlignment="1" applyProtection="1">
      <alignment horizontal="left"/>
      <protection hidden="1"/>
    </xf>
    <xf numFmtId="168" fontId="3" fillId="0" borderId="22" xfId="49" applyNumberFormat="1" applyFont="1" applyBorder="1" applyAlignment="1" applyProtection="1">
      <alignment/>
      <protection hidden="1"/>
    </xf>
    <xf numFmtId="168" fontId="3" fillId="0" borderId="13" xfId="49" applyNumberFormat="1" applyFont="1" applyBorder="1" applyAlignment="1" applyProtection="1">
      <alignment/>
      <protection hidden="1"/>
    </xf>
    <xf numFmtId="0" fontId="3" fillId="0" borderId="23" xfId="0" applyFont="1" applyFill="1" applyBorder="1" applyAlignment="1" applyProtection="1">
      <alignment horizontal="left"/>
      <protection hidden="1"/>
    </xf>
    <xf numFmtId="168" fontId="3" fillId="0" borderId="14" xfId="49" applyNumberFormat="1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/>
      <protection hidden="1"/>
    </xf>
    <xf numFmtId="168" fontId="3" fillId="0" borderId="23" xfId="49" applyNumberFormat="1" applyFont="1" applyBorder="1" applyAlignment="1" applyProtection="1">
      <alignment/>
      <protection hidden="1"/>
    </xf>
    <xf numFmtId="168" fontId="9" fillId="0" borderId="0" xfId="49" applyNumberFormat="1" applyFont="1" applyBorder="1" applyAlignment="1" applyProtection="1">
      <alignment/>
      <protection hidden="1"/>
    </xf>
    <xf numFmtId="168" fontId="9" fillId="0" borderId="10" xfId="49" applyNumberFormat="1" applyFont="1" applyBorder="1" applyAlignment="1" applyProtection="1">
      <alignment/>
      <protection hidden="1"/>
    </xf>
    <xf numFmtId="168" fontId="3" fillId="0" borderId="10" xfId="49" applyNumberFormat="1" applyFont="1" applyBorder="1" applyAlignment="1" applyProtection="1">
      <alignment/>
      <protection hidden="1"/>
    </xf>
    <xf numFmtId="168" fontId="3" fillId="0" borderId="16" xfId="49" applyNumberFormat="1" applyFont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 horizontal="left"/>
      <protection hidden="1"/>
    </xf>
    <xf numFmtId="10" fontId="2" fillId="0" borderId="0" xfId="57" applyNumberFormat="1" applyFont="1" applyBorder="1" applyAlignment="1" applyProtection="1">
      <alignment horizontal="center"/>
      <protection hidden="1"/>
    </xf>
    <xf numFmtId="168" fontId="3" fillId="0" borderId="0" xfId="49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 locked="0"/>
    </xf>
    <xf numFmtId="168" fontId="3" fillId="0" borderId="0" xfId="49" applyNumberFormat="1" applyFont="1" applyFill="1" applyAlignment="1" applyProtection="1">
      <alignment/>
      <protection hidden="1" locked="0"/>
    </xf>
    <xf numFmtId="10" fontId="3" fillId="0" borderId="0" xfId="57" applyNumberFormat="1" applyFont="1" applyBorder="1" applyAlignment="1" applyProtection="1">
      <alignment/>
      <protection hidden="1"/>
    </xf>
    <xf numFmtId="179" fontId="3" fillId="0" borderId="0" xfId="57" applyNumberFormat="1" applyFont="1" applyBorder="1" applyAlignment="1" applyProtection="1">
      <alignment/>
      <protection hidden="1"/>
    </xf>
    <xf numFmtId="179" fontId="3" fillId="0" borderId="0" xfId="52" applyNumberFormat="1" applyFont="1" applyBorder="1" applyAlignment="1" applyProtection="1">
      <alignment/>
      <protection hidden="1"/>
    </xf>
    <xf numFmtId="168" fontId="8" fillId="0" borderId="0" xfId="49" applyNumberFormat="1" applyFont="1" applyBorder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174" fontId="3" fillId="0" borderId="0" xfId="52" applyNumberFormat="1" applyFont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4" fontId="3" fillId="0" borderId="0" xfId="0" applyNumberFormat="1" applyFont="1" applyFill="1" applyAlignment="1" applyProtection="1">
      <alignment/>
      <protection hidden="1"/>
    </xf>
    <xf numFmtId="4" fontId="3" fillId="0" borderId="0" xfId="49" applyNumberFormat="1" applyFont="1" applyFill="1" applyAlignment="1" applyProtection="1">
      <alignment/>
      <protection hidden="1"/>
    </xf>
    <xf numFmtId="4" fontId="3" fillId="0" borderId="0" xfId="49" applyNumberFormat="1" applyFont="1" applyFill="1" applyAlignment="1" applyProtection="1">
      <alignment/>
      <protection/>
    </xf>
    <xf numFmtId="4" fontId="3" fillId="0" borderId="0" xfId="49" applyNumberFormat="1" applyFont="1" applyFill="1" applyAlignment="1" applyProtection="1">
      <alignment/>
      <protection locked="0"/>
    </xf>
    <xf numFmtId="4" fontId="3" fillId="0" borderId="0" xfId="49" applyNumberFormat="1" applyFont="1" applyBorder="1" applyAlignment="1" applyProtection="1">
      <alignment/>
      <protection hidden="1"/>
    </xf>
    <xf numFmtId="4" fontId="3" fillId="0" borderId="0" xfId="49" applyNumberFormat="1" applyFont="1" applyFill="1" applyBorder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/>
      <protection hidden="1"/>
    </xf>
    <xf numFmtId="4" fontId="3" fillId="0" borderId="0" xfId="49" applyNumberFormat="1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 hidden="1"/>
    </xf>
    <xf numFmtId="4" fontId="3" fillId="0" borderId="0" xfId="49" applyNumberFormat="1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hidden="1"/>
    </xf>
    <xf numFmtId="168" fontId="6" fillId="0" borderId="25" xfId="49" applyNumberFormat="1" applyFont="1" applyBorder="1" applyAlignment="1" applyProtection="1">
      <alignment/>
      <protection hidden="1"/>
    </xf>
    <xf numFmtId="168" fontId="2" fillId="0" borderId="25" xfId="49" applyNumberFormat="1" applyFont="1" applyFill="1" applyBorder="1" applyAlignment="1" applyProtection="1">
      <alignment horizontal="right"/>
      <protection hidden="1"/>
    </xf>
    <xf numFmtId="168" fontId="2" fillId="0" borderId="17" xfId="49" applyNumberFormat="1" applyFont="1" applyFill="1" applyBorder="1" applyAlignment="1" applyProtection="1">
      <alignment horizontal="right"/>
      <protection hidden="1"/>
    </xf>
    <xf numFmtId="168" fontId="2" fillId="0" borderId="11" xfId="49" applyNumberFormat="1" applyFont="1" applyFill="1" applyBorder="1" applyAlignment="1" applyProtection="1">
      <alignment horizontal="right"/>
      <protection hidden="1"/>
    </xf>
    <xf numFmtId="0" fontId="3" fillId="0" borderId="26" xfId="0" applyFont="1" applyFill="1" applyBorder="1" applyAlignment="1" applyProtection="1" quotePrefix="1">
      <alignment horizontal="left"/>
      <protection hidden="1"/>
    </xf>
    <xf numFmtId="0" fontId="3" fillId="0" borderId="26" xfId="0" applyFont="1" applyFill="1" applyBorder="1" applyAlignment="1" applyProtection="1">
      <alignment horizontal="left"/>
      <protection hidden="1"/>
    </xf>
    <xf numFmtId="168" fontId="0" fillId="0" borderId="0" xfId="0" applyNumberFormat="1" applyAlignment="1" applyProtection="1">
      <alignment/>
      <protection hidden="1"/>
    </xf>
    <xf numFmtId="168" fontId="8" fillId="0" borderId="10" xfId="49" applyNumberFormat="1" applyFont="1" applyBorder="1" applyAlignment="1" applyProtection="1">
      <alignment/>
      <protection hidden="1"/>
    </xf>
    <xf numFmtId="10" fontId="3" fillId="0" borderId="0" xfId="57" applyNumberFormat="1" applyFont="1" applyAlignment="1" applyProtection="1">
      <alignment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168" fontId="8" fillId="0" borderId="0" xfId="49" applyNumberFormat="1" applyFont="1" applyBorder="1" applyAlignment="1" applyProtection="1">
      <alignment/>
      <protection hidden="1"/>
    </xf>
    <xf numFmtId="169" fontId="8" fillId="0" borderId="0" xfId="57" applyNumberFormat="1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/>
      <protection hidden="1"/>
    </xf>
    <xf numFmtId="0" fontId="3" fillId="11" borderId="0" xfId="0" applyFont="1" applyFill="1" applyAlignment="1" applyProtection="1">
      <alignment/>
      <protection hidden="1"/>
    </xf>
    <xf numFmtId="174" fontId="3" fillId="0" borderId="0" xfId="52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179" fontId="3" fillId="33" borderId="0" xfId="0" applyNumberFormat="1" applyFont="1" applyFill="1" applyAlignment="1" applyProtection="1">
      <alignment/>
      <protection hidden="1" locked="0"/>
    </xf>
    <xf numFmtId="0" fontId="3" fillId="0" borderId="27" xfId="0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/>
    </xf>
    <xf numFmtId="168" fontId="3" fillId="0" borderId="28" xfId="49" applyNumberFormat="1" applyFont="1" applyBorder="1" applyAlignment="1" applyProtection="1">
      <alignment/>
      <protection hidden="1"/>
    </xf>
    <xf numFmtId="168" fontId="3" fillId="0" borderId="29" xfId="49" applyNumberFormat="1" applyFont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 hidden="1"/>
    </xf>
    <xf numFmtId="168" fontId="3" fillId="0" borderId="31" xfId="49" applyNumberFormat="1" applyFont="1" applyBorder="1" applyAlignment="1" applyProtection="1">
      <alignment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168" fontId="3" fillId="0" borderId="33" xfId="49" applyNumberFormat="1" applyFont="1" applyBorder="1" applyAlignment="1" applyProtection="1">
      <alignment/>
      <protection hidden="1"/>
    </xf>
    <xf numFmtId="168" fontId="3" fillId="0" borderId="34" xfId="49" applyNumberFormat="1" applyFont="1" applyBorder="1" applyAlignment="1" applyProtection="1">
      <alignment/>
      <protection hidden="1"/>
    </xf>
    <xf numFmtId="0" fontId="7" fillId="0" borderId="33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wrapText="1"/>
      <protection hidden="1"/>
    </xf>
    <xf numFmtId="168" fontId="3" fillId="0" borderId="31" xfId="49" applyNumberFormat="1" applyFont="1" applyFill="1" applyBorder="1" applyAlignment="1" applyProtection="1">
      <alignment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8" fontId="114" fillId="0" borderId="0" xfId="49" applyNumberFormat="1" applyFont="1" applyBorder="1" applyAlignment="1" applyProtection="1">
      <alignment/>
      <protection hidden="1"/>
    </xf>
    <xf numFmtId="0" fontId="115" fillId="0" borderId="0" xfId="0" applyFont="1" applyBorder="1" applyAlignment="1" applyProtection="1">
      <alignment/>
      <protection hidden="1"/>
    </xf>
    <xf numFmtId="0" fontId="116" fillId="0" borderId="0" xfId="0" applyFont="1" applyBorder="1" applyAlignment="1" applyProtection="1">
      <alignment/>
      <protection hidden="1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168" fontId="2" fillId="0" borderId="34" xfId="49" applyNumberFormat="1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 quotePrefix="1">
      <alignment horizontal="left"/>
      <protection hidden="1"/>
    </xf>
    <xf numFmtId="0" fontId="3" fillId="0" borderId="18" xfId="0" applyFont="1" applyFill="1" applyBorder="1" applyAlignment="1" applyProtection="1" quotePrefix="1">
      <alignment horizontal="left"/>
      <protection hidden="1"/>
    </xf>
    <xf numFmtId="168" fontId="2" fillId="0" borderId="18" xfId="49" applyNumberFormat="1" applyFont="1" applyFill="1" applyBorder="1" applyAlignment="1" applyProtection="1">
      <alignment horizontal="right"/>
      <protection hidden="1"/>
    </xf>
    <xf numFmtId="168" fontId="2" fillId="0" borderId="35" xfId="49" applyNumberFormat="1" applyFont="1" applyFill="1" applyBorder="1" applyAlignment="1" applyProtection="1">
      <alignment horizontal="right"/>
      <protection hidden="1"/>
    </xf>
    <xf numFmtId="0" fontId="14" fillId="0" borderId="28" xfId="0" applyFont="1" applyBorder="1" applyAlignment="1" applyProtection="1">
      <alignment horizontal="left"/>
      <protection hidden="1"/>
    </xf>
    <xf numFmtId="0" fontId="115" fillId="0" borderId="28" xfId="0" applyFont="1" applyBorder="1" applyAlignment="1" applyProtection="1">
      <alignment/>
      <protection hidden="1"/>
    </xf>
    <xf numFmtId="168" fontId="9" fillId="0" borderId="28" xfId="49" applyNumberFormat="1" applyFont="1" applyBorder="1" applyAlignment="1" applyProtection="1">
      <alignment/>
      <protection hidden="1"/>
    </xf>
    <xf numFmtId="10" fontId="3" fillId="0" borderId="28" xfId="57" applyNumberFormat="1" applyFont="1" applyBorder="1" applyAlignment="1" applyProtection="1">
      <alignment/>
      <protection hidden="1"/>
    </xf>
    <xf numFmtId="168" fontId="8" fillId="0" borderId="28" xfId="49" applyNumberFormat="1" applyFont="1" applyBorder="1" applyAlignment="1" applyProtection="1">
      <alignment/>
      <protection hidden="1"/>
    </xf>
    <xf numFmtId="169" fontId="8" fillId="0" borderId="28" xfId="57" applyNumberFormat="1" applyFont="1" applyBorder="1" applyAlignment="1" applyProtection="1">
      <alignment/>
      <protection hidden="1"/>
    </xf>
    <xf numFmtId="0" fontId="3" fillId="33" borderId="28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79" fontId="3" fillId="0" borderId="36" xfId="52" applyNumberFormat="1" applyFont="1" applyBorder="1" applyAlignment="1" applyProtection="1">
      <alignment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2" fillId="34" borderId="0" xfId="0" applyFont="1" applyFill="1" applyAlignment="1" applyProtection="1">
      <alignment horizontal="center"/>
      <protection hidden="1" locked="0"/>
    </xf>
    <xf numFmtId="168" fontId="3" fillId="34" borderId="0" xfId="49" applyNumberFormat="1" applyFont="1" applyFill="1" applyAlignment="1" applyProtection="1">
      <alignment/>
      <protection hidden="1" locked="0"/>
    </xf>
    <xf numFmtId="0" fontId="117" fillId="0" borderId="0" xfId="0" applyFont="1" applyBorder="1" applyAlignment="1" applyProtection="1">
      <alignment/>
      <protection hidden="1"/>
    </xf>
    <xf numFmtId="0" fontId="114" fillId="0" borderId="23" xfId="0" applyFont="1" applyFill="1" applyBorder="1" applyAlignment="1" applyProtection="1">
      <alignment horizontal="left"/>
      <protection hidden="1"/>
    </xf>
    <xf numFmtId="9" fontId="3" fillId="34" borderId="0" xfId="0" applyNumberFormat="1" applyFont="1" applyFill="1" applyAlignment="1" applyProtection="1">
      <alignment/>
      <protection hidden="1" locked="0"/>
    </xf>
    <xf numFmtId="10" fontId="3" fillId="0" borderId="0" xfId="57" applyNumberFormat="1" applyFont="1" applyFill="1" applyAlignment="1" applyProtection="1">
      <alignment/>
      <protection hidden="1" locked="0"/>
    </xf>
    <xf numFmtId="0" fontId="3" fillId="0" borderId="0" xfId="0" applyFont="1" applyFill="1" applyAlignment="1" applyProtection="1">
      <alignment/>
      <protection hidden="1" locked="0"/>
    </xf>
    <xf numFmtId="168" fontId="3" fillId="35" borderId="0" xfId="49" applyNumberFormat="1" applyFont="1" applyFill="1" applyAlignment="1" applyProtection="1">
      <alignment/>
      <protection hidden="1"/>
    </xf>
    <xf numFmtId="0" fontId="3" fillId="35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 locked="0"/>
    </xf>
    <xf numFmtId="166" fontId="3" fillId="36" borderId="0" xfId="52" applyFont="1" applyFill="1" applyAlignment="1" applyProtection="1">
      <alignment/>
      <protection hidden="1" locked="0"/>
    </xf>
    <xf numFmtId="0" fontId="2" fillId="36" borderId="0" xfId="0" applyFont="1" applyFill="1" applyAlignment="1" applyProtection="1">
      <alignment horizontal="center"/>
      <protection hidden="1" locked="0"/>
    </xf>
    <xf numFmtId="175" fontId="3" fillId="36" borderId="0" xfId="0" applyNumberFormat="1" applyFont="1" applyFill="1" applyAlignment="1" applyProtection="1">
      <alignment/>
      <protection hidden="1" locked="0"/>
    </xf>
    <xf numFmtId="10" fontId="3" fillId="0" borderId="0" xfId="0" applyNumberFormat="1" applyFont="1" applyFill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left"/>
      <protection hidden="1"/>
    </xf>
    <xf numFmtId="168" fontId="3" fillId="37" borderId="0" xfId="49" applyNumberFormat="1" applyFont="1" applyFill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0" fontId="0" fillId="37" borderId="0" xfId="0" applyFont="1" applyFill="1" applyAlignment="1" applyProtection="1">
      <alignment vertical="center"/>
      <protection hidden="1" locked="0"/>
    </xf>
    <xf numFmtId="0" fontId="3" fillId="37" borderId="0" xfId="0" applyFont="1" applyFill="1" applyAlignment="1" applyProtection="1">
      <alignment/>
      <protection hidden="1" locked="0"/>
    </xf>
    <xf numFmtId="0" fontId="3" fillId="38" borderId="0" xfId="0" applyFont="1" applyFill="1" applyAlignment="1" applyProtection="1">
      <alignment/>
      <protection hidden="1" locked="0"/>
    </xf>
    <xf numFmtId="168" fontId="3" fillId="38" borderId="0" xfId="49" applyNumberFormat="1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 horizontal="center"/>
      <protection hidden="1" locked="0"/>
    </xf>
    <xf numFmtId="0" fontId="3" fillId="38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 locked="0"/>
    </xf>
    <xf numFmtId="166" fontId="3" fillId="38" borderId="0" xfId="52" applyFont="1" applyFill="1" applyAlignment="1" applyProtection="1">
      <alignment/>
      <protection hidden="1" locked="0"/>
    </xf>
    <xf numFmtId="174" fontId="3" fillId="38" borderId="0" xfId="0" applyNumberFormat="1" applyFont="1" applyFill="1" applyAlignment="1" applyProtection="1">
      <alignment/>
      <protection hidden="1" locked="0"/>
    </xf>
    <xf numFmtId="165" fontId="3" fillId="38" borderId="0" xfId="0" applyNumberFormat="1" applyFont="1" applyFill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left"/>
      <protection hidden="1"/>
    </xf>
    <xf numFmtId="168" fontId="3" fillId="0" borderId="23" xfId="49" applyNumberFormat="1" applyFont="1" applyFill="1" applyBorder="1" applyAlignment="1" applyProtection="1">
      <alignment/>
      <protection hidden="1"/>
    </xf>
    <xf numFmtId="10" fontId="3" fillId="34" borderId="0" xfId="0" applyNumberFormat="1" applyFont="1" applyFill="1" applyAlignment="1" applyProtection="1">
      <alignment/>
      <protection hidden="1" locked="0"/>
    </xf>
    <xf numFmtId="10" fontId="2" fillId="34" borderId="0" xfId="0" applyNumberFormat="1" applyFont="1" applyFill="1" applyAlignment="1" applyProtection="1">
      <alignment/>
      <protection hidden="1" locked="0"/>
    </xf>
    <xf numFmtId="9" fontId="2" fillId="34" borderId="0" xfId="0" applyNumberFormat="1" applyFont="1" applyFill="1" applyAlignment="1" applyProtection="1">
      <alignment/>
      <protection hidden="1" locked="0"/>
    </xf>
    <xf numFmtId="168" fontId="2" fillId="34" borderId="0" xfId="49" applyNumberFormat="1" applyFont="1" applyFill="1" applyAlignment="1" applyProtection="1">
      <alignment/>
      <protection hidden="1" locked="0"/>
    </xf>
    <xf numFmtId="0" fontId="3" fillId="35" borderId="0" xfId="0" applyFont="1" applyFill="1" applyBorder="1" applyAlignment="1" applyProtection="1">
      <alignment/>
      <protection hidden="1" locked="0"/>
    </xf>
    <xf numFmtId="0" fontId="3" fillId="35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167" fontId="3" fillId="33" borderId="0" xfId="49" applyFont="1" applyFill="1" applyAlignment="1" applyProtection="1">
      <alignment/>
      <protection hidden="1" locked="0"/>
    </xf>
    <xf numFmtId="10" fontId="3" fillId="37" borderId="23" xfId="0" applyNumberFormat="1" applyFont="1" applyFill="1" applyBorder="1" applyAlignment="1" applyProtection="1">
      <alignment/>
      <protection hidden="1" locked="0"/>
    </xf>
    <xf numFmtId="10" fontId="3" fillId="37" borderId="14" xfId="0" applyNumberFormat="1" applyFont="1" applyFill="1" applyBorder="1" applyAlignment="1" applyProtection="1">
      <alignment/>
      <protection hidden="1" locked="0"/>
    </xf>
    <xf numFmtId="10" fontId="3" fillId="37" borderId="15" xfId="0" applyNumberFormat="1" applyFont="1" applyFill="1" applyBorder="1" applyAlignment="1" applyProtection="1">
      <alignment/>
      <protection hidden="1" locked="0"/>
    </xf>
    <xf numFmtId="10" fontId="3" fillId="37" borderId="16" xfId="0" applyNumberFormat="1" applyFont="1" applyFill="1" applyBorder="1" applyAlignment="1" applyProtection="1">
      <alignment/>
      <protection hidden="1" locked="0"/>
    </xf>
    <xf numFmtId="0" fontId="3" fillId="37" borderId="14" xfId="0" applyFont="1" applyFill="1" applyBorder="1" applyAlignment="1" applyProtection="1">
      <alignment/>
      <protection hidden="1" locked="0"/>
    </xf>
    <xf numFmtId="0" fontId="3" fillId="37" borderId="23" xfId="0" applyFont="1" applyFill="1" applyBorder="1" applyAlignment="1" applyProtection="1">
      <alignment/>
      <protection hidden="1" locked="0"/>
    </xf>
    <xf numFmtId="10" fontId="3" fillId="37" borderId="0" xfId="57" applyNumberFormat="1" applyFont="1" applyFill="1" applyBorder="1" applyAlignment="1" applyProtection="1">
      <alignment/>
      <protection hidden="1" locked="0"/>
    </xf>
    <xf numFmtId="0" fontId="3" fillId="37" borderId="10" xfId="0" applyFont="1" applyFill="1" applyBorder="1" applyAlignment="1" applyProtection="1">
      <alignment/>
      <protection hidden="1" locked="0"/>
    </xf>
    <xf numFmtId="10" fontId="3" fillId="38" borderId="0" xfId="0" applyNumberFormat="1" applyFont="1" applyFill="1" applyAlignment="1" applyProtection="1">
      <alignment/>
      <protection hidden="1" locked="0"/>
    </xf>
    <xf numFmtId="0" fontId="0" fillId="38" borderId="0" xfId="0" applyFont="1" applyFill="1" applyAlignment="1" applyProtection="1">
      <alignment vertical="center"/>
      <protection hidden="1" locked="0"/>
    </xf>
    <xf numFmtId="0" fontId="2" fillId="38" borderId="0" xfId="0" applyFont="1" applyFill="1" applyAlignment="1" applyProtection="1">
      <alignment/>
      <protection hidden="1"/>
    </xf>
    <xf numFmtId="168" fontId="2" fillId="38" borderId="0" xfId="49" applyNumberFormat="1" applyFont="1" applyFill="1" applyAlignment="1" applyProtection="1">
      <alignment horizontal="right"/>
      <protection hidden="1"/>
    </xf>
    <xf numFmtId="43" fontId="3" fillId="33" borderId="0" xfId="0" applyNumberFormat="1" applyFont="1" applyFill="1" applyAlignment="1" applyProtection="1">
      <alignment/>
      <protection hidden="1" locked="0"/>
    </xf>
    <xf numFmtId="174" fontId="3" fillId="33" borderId="0" xfId="0" applyNumberFormat="1" applyFont="1" applyFill="1" applyAlignment="1" applyProtection="1">
      <alignment/>
      <protection hidden="1" locked="0"/>
    </xf>
    <xf numFmtId="168" fontId="3" fillId="38" borderId="0" xfId="0" applyNumberFormat="1" applyFont="1" applyFill="1" applyAlignment="1" applyProtection="1">
      <alignment/>
      <protection hidden="1" locked="0"/>
    </xf>
    <xf numFmtId="168" fontId="118" fillId="0" borderId="0" xfId="49" applyNumberFormat="1" applyFont="1" applyBorder="1" applyAlignment="1" applyProtection="1">
      <alignment horizontal="right"/>
      <protection hidden="1"/>
    </xf>
    <xf numFmtId="0" fontId="119" fillId="0" borderId="0" xfId="0" applyFont="1" applyBorder="1" applyAlignment="1" applyProtection="1">
      <alignment/>
      <protection hidden="1"/>
    </xf>
    <xf numFmtId="0" fontId="120" fillId="0" borderId="0" xfId="0" applyFont="1" applyBorder="1" applyAlignment="1" applyProtection="1">
      <alignment/>
      <protection hidden="1"/>
    </xf>
    <xf numFmtId="0" fontId="2" fillId="0" borderId="23" xfId="0" applyFont="1" applyFill="1" applyBorder="1" applyAlignment="1" applyProtection="1">
      <alignment horizontal="left"/>
      <protection hidden="1"/>
    </xf>
    <xf numFmtId="174" fontId="3" fillId="0" borderId="0" xfId="0" applyNumberFormat="1" applyFont="1" applyAlignment="1" applyProtection="1">
      <alignment/>
      <protection hidden="1"/>
    </xf>
    <xf numFmtId="168" fontId="121" fillId="0" borderId="0" xfId="49" applyNumberFormat="1" applyFont="1" applyBorder="1" applyAlignment="1" applyProtection="1">
      <alignment/>
      <protection hidden="1"/>
    </xf>
    <xf numFmtId="168" fontId="120" fillId="0" borderId="0" xfId="49" applyNumberFormat="1" applyFont="1" applyBorder="1" applyAlignment="1" applyProtection="1">
      <alignment/>
      <protection hidden="1"/>
    </xf>
    <xf numFmtId="168" fontId="3" fillId="0" borderId="15" xfId="49" applyNumberFormat="1" applyFont="1" applyBorder="1" applyAlignment="1" applyProtection="1">
      <alignment/>
      <protection hidden="1"/>
    </xf>
    <xf numFmtId="174" fontId="3" fillId="0" borderId="10" xfId="52" applyNumberFormat="1" applyFont="1" applyBorder="1" applyAlignment="1" applyProtection="1">
      <alignment/>
      <protection hidden="1"/>
    </xf>
    <xf numFmtId="179" fontId="2" fillId="0" borderId="0" xfId="52" applyNumberFormat="1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 vertical="top"/>
      <protection hidden="1"/>
    </xf>
    <xf numFmtId="174" fontId="122" fillId="0" borderId="0" xfId="52" applyNumberFormat="1" applyFont="1" applyFill="1" applyBorder="1" applyAlignment="1" applyProtection="1">
      <alignment vertical="top"/>
      <protection hidden="1"/>
    </xf>
    <xf numFmtId="168" fontId="3" fillId="0" borderId="37" xfId="49" applyNumberFormat="1" applyFont="1" applyBorder="1" applyAlignment="1" applyProtection="1">
      <alignment/>
      <protection hidden="1"/>
    </xf>
    <xf numFmtId="179" fontId="114" fillId="0" borderId="0" xfId="52" applyNumberFormat="1" applyFont="1" applyBorder="1" applyAlignment="1" applyProtection="1">
      <alignment/>
      <protection hidden="1"/>
    </xf>
    <xf numFmtId="165" fontId="3" fillId="0" borderId="0" xfId="57" applyNumberFormat="1" applyFont="1" applyFill="1" applyBorder="1" applyAlignment="1" applyProtection="1">
      <alignment horizontal="center" vertical="center"/>
      <protection hidden="1"/>
    </xf>
    <xf numFmtId="168" fontId="114" fillId="0" borderId="23" xfId="49" applyNumberFormat="1" applyFont="1" applyFill="1" applyBorder="1" applyAlignment="1" applyProtection="1">
      <alignment/>
      <protection hidden="1"/>
    </xf>
    <xf numFmtId="179" fontId="3" fillId="0" borderId="0" xfId="52" applyNumberFormat="1" applyFont="1" applyFill="1" applyBorder="1" applyAlignment="1" applyProtection="1">
      <alignment/>
      <protection hidden="1"/>
    </xf>
    <xf numFmtId="168" fontId="114" fillId="0" borderId="0" xfId="49" applyNumberFormat="1" applyFont="1" applyFill="1" applyBorder="1" applyAlignment="1" applyProtection="1">
      <alignment/>
      <protection hidden="1"/>
    </xf>
    <xf numFmtId="174" fontId="3" fillId="0" borderId="0" xfId="52" applyNumberFormat="1" applyFont="1" applyFill="1" applyBorder="1" applyAlignment="1" applyProtection="1">
      <alignment horizontal="center"/>
      <protection hidden="1"/>
    </xf>
    <xf numFmtId="174" fontId="2" fillId="0" borderId="0" xfId="52" applyNumberFormat="1" applyFont="1" applyBorder="1" applyAlignment="1" applyProtection="1">
      <alignment/>
      <protection hidden="1"/>
    </xf>
    <xf numFmtId="179" fontId="2" fillId="0" borderId="22" xfId="57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hidden="1" locked="0"/>
    </xf>
    <xf numFmtId="168" fontId="3" fillId="0" borderId="28" xfId="49" applyNumberFormat="1" applyFont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/>
      <protection hidden="1" locked="0"/>
    </xf>
    <xf numFmtId="168" fontId="3" fillId="0" borderId="0" xfId="49" applyNumberFormat="1" applyFont="1" applyBorder="1" applyAlignment="1" applyProtection="1">
      <alignment/>
      <protection hidden="1" locked="0"/>
    </xf>
    <xf numFmtId="179" fontId="3" fillId="0" borderId="0" xfId="52" applyNumberFormat="1" applyFont="1" applyFill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2" fillId="38" borderId="0" xfId="0" applyFont="1" applyFill="1" applyAlignment="1" applyProtection="1">
      <alignment/>
      <protection hidden="1" locked="0"/>
    </xf>
    <xf numFmtId="18" fontId="2" fillId="38" borderId="0" xfId="0" applyNumberFormat="1" applyFont="1" applyFill="1" applyAlignment="1" applyProtection="1">
      <alignment horizontal="center"/>
      <protection hidden="1"/>
    </xf>
    <xf numFmtId="166" fontId="2" fillId="38" borderId="0" xfId="52" applyFont="1" applyFill="1" applyAlignment="1" applyProtection="1">
      <alignment/>
      <protection hidden="1" locked="0"/>
    </xf>
    <xf numFmtId="169" fontId="3" fillId="0" borderId="38" xfId="57" applyNumberFormat="1" applyFont="1" applyBorder="1" applyAlignment="1" applyProtection="1">
      <alignment/>
      <protection hidden="1" locked="0"/>
    </xf>
    <xf numFmtId="169" fontId="3" fillId="0" borderId="0" xfId="57" applyNumberFormat="1" applyFont="1" applyAlignment="1" applyProtection="1">
      <alignment/>
      <protection hidden="1"/>
    </xf>
    <xf numFmtId="0" fontId="118" fillId="0" borderId="0" xfId="0" applyFont="1" applyBorder="1" applyAlignment="1" applyProtection="1">
      <alignment horizontal="right"/>
      <protection hidden="1"/>
    </xf>
    <xf numFmtId="168" fontId="114" fillId="0" borderId="0" xfId="49" applyNumberFormat="1" applyFont="1" applyBorder="1" applyAlignment="1" applyProtection="1">
      <alignment horizontal="right"/>
      <protection hidden="1"/>
    </xf>
    <xf numFmtId="9" fontId="3" fillId="0" borderId="0" xfId="57" applyFont="1" applyBorder="1" applyAlignment="1" applyProtection="1">
      <alignment/>
      <protection hidden="1"/>
    </xf>
    <xf numFmtId="168" fontId="3" fillId="0" borderId="0" xfId="49" applyNumberFormat="1" applyFont="1" applyBorder="1" applyAlignment="1" applyProtection="1">
      <alignment horizontal="right"/>
      <protection hidden="1"/>
    </xf>
    <xf numFmtId="168" fontId="114" fillId="0" borderId="10" xfId="49" applyNumberFormat="1" applyFont="1" applyBorder="1" applyAlignment="1" applyProtection="1">
      <alignment horizontal="right"/>
      <protection hidden="1"/>
    </xf>
    <xf numFmtId="168" fontId="2" fillId="0" borderId="0" xfId="49" applyNumberFormat="1" applyFont="1" applyBorder="1" applyAlignment="1" applyProtection="1">
      <alignment horizontal="right"/>
      <protection hidden="1"/>
    </xf>
    <xf numFmtId="175" fontId="3" fillId="0" borderId="0" xfId="0" applyNumberFormat="1" applyFont="1" applyFill="1" applyAlignment="1" applyProtection="1">
      <alignment horizontal="right"/>
      <protection hidden="1" locked="0"/>
    </xf>
    <xf numFmtId="175" fontId="3" fillId="0" borderId="0" xfId="0" applyNumberFormat="1" applyFont="1" applyFill="1" applyAlignment="1" applyProtection="1">
      <alignment/>
      <protection hidden="1" locked="0"/>
    </xf>
    <xf numFmtId="0" fontId="2" fillId="38" borderId="0" xfId="0" applyFont="1" applyFill="1" applyAlignment="1" applyProtection="1">
      <alignment horizontal="center"/>
      <protection hidden="1"/>
    </xf>
    <xf numFmtId="2" fontId="3" fillId="37" borderId="0" xfId="0" applyNumberFormat="1" applyFont="1" applyFill="1" applyBorder="1" applyAlignment="1" applyProtection="1">
      <alignment/>
      <protection hidden="1" locked="0"/>
    </xf>
    <xf numFmtId="2" fontId="3" fillId="38" borderId="0" xfId="0" applyNumberFormat="1" applyFont="1" applyFill="1" applyAlignment="1" applyProtection="1">
      <alignment/>
      <protection hidden="1"/>
    </xf>
    <xf numFmtId="0" fontId="3" fillId="38" borderId="0" xfId="0" applyFont="1" applyFill="1" applyAlignment="1" applyProtection="1">
      <alignment horizontal="right"/>
      <protection hidden="1"/>
    </xf>
    <xf numFmtId="0" fontId="3" fillId="38" borderId="0" xfId="0" applyFont="1" applyFill="1" applyAlignment="1" applyProtection="1">
      <alignment horizontal="center"/>
      <protection hidden="1"/>
    </xf>
    <xf numFmtId="0" fontId="123" fillId="9" borderId="0" xfId="0" applyFont="1" applyFill="1" applyBorder="1" applyAlignment="1" applyProtection="1">
      <alignment horizontal="center"/>
      <protection/>
    </xf>
    <xf numFmtId="0" fontId="113" fillId="9" borderId="0" xfId="0" applyFont="1" applyFill="1" applyAlignment="1" applyProtection="1">
      <alignment/>
      <protection locked="0"/>
    </xf>
    <xf numFmtId="0" fontId="113" fillId="9" borderId="0" xfId="0" applyFont="1" applyFill="1" applyAlignment="1" applyProtection="1">
      <alignment/>
      <protection/>
    </xf>
    <xf numFmtId="0" fontId="124" fillId="9" borderId="0" xfId="0" applyFont="1" applyFill="1" applyAlignment="1" applyProtection="1">
      <alignment/>
      <protection/>
    </xf>
    <xf numFmtId="1" fontId="0" fillId="9" borderId="0" xfId="0" applyNumberFormat="1" applyFont="1" applyFill="1" applyAlignment="1" applyProtection="1">
      <alignment/>
      <protection/>
    </xf>
    <xf numFmtId="0" fontId="123" fillId="9" borderId="0" xfId="0" applyFont="1" applyFill="1" applyAlignment="1" applyProtection="1">
      <alignment horizontal="center"/>
      <protection hidden="1"/>
    </xf>
    <xf numFmtId="0" fontId="123" fillId="9" borderId="0" xfId="0" applyFont="1" applyFill="1" applyAlignment="1" applyProtection="1">
      <alignment horizontal="center"/>
      <protection locked="0"/>
    </xf>
    <xf numFmtId="4" fontId="113" fillId="9" borderId="0" xfId="0" applyNumberFormat="1" applyFont="1" applyFill="1" applyAlignment="1" applyProtection="1">
      <alignment/>
      <protection/>
    </xf>
    <xf numFmtId="3" fontId="113" fillId="9" borderId="0" xfId="0" applyNumberFormat="1" applyFont="1" applyFill="1" applyAlignment="1" applyProtection="1">
      <alignment horizontal="center"/>
      <protection/>
    </xf>
    <xf numFmtId="10" fontId="113" fillId="9" borderId="0" xfId="0" applyNumberFormat="1" applyFont="1" applyFill="1" applyAlignment="1" applyProtection="1">
      <alignment/>
      <protection locked="0"/>
    </xf>
    <xf numFmtId="10" fontId="113" fillId="9" borderId="0" xfId="0" applyNumberFormat="1" applyFont="1" applyFill="1" applyAlignment="1" applyProtection="1">
      <alignment/>
      <protection/>
    </xf>
    <xf numFmtId="172" fontId="113" fillId="9" borderId="0" xfId="57" applyNumberFormat="1" applyFont="1" applyFill="1" applyAlignment="1" applyProtection="1">
      <alignment/>
      <protection/>
    </xf>
    <xf numFmtId="10" fontId="113" fillId="9" borderId="0" xfId="57" applyNumberFormat="1" applyFont="1" applyFill="1" applyAlignment="1" applyProtection="1">
      <alignment/>
      <protection locked="0"/>
    </xf>
    <xf numFmtId="0" fontId="125" fillId="9" borderId="0" xfId="0" applyFont="1" applyFill="1" applyBorder="1" applyAlignment="1" applyProtection="1">
      <alignment horizontal="center" wrapText="1"/>
      <protection locked="0"/>
    </xf>
    <xf numFmtId="0" fontId="125" fillId="9" borderId="10" xfId="0" applyFont="1" applyFill="1" applyBorder="1" applyAlignment="1" applyProtection="1">
      <alignment horizontal="center" wrapText="1"/>
      <protection locked="0"/>
    </xf>
    <xf numFmtId="168" fontId="118" fillId="9" borderId="0" xfId="49" applyNumberFormat="1" applyFont="1" applyFill="1" applyBorder="1" applyAlignment="1" applyProtection="1">
      <alignment horizontal="center"/>
      <protection/>
    </xf>
    <xf numFmtId="168" fontId="125" fillId="9" borderId="0" xfId="49" applyNumberFormat="1" applyFont="1" applyFill="1" applyBorder="1" applyAlignment="1" applyProtection="1">
      <alignment horizontal="center"/>
      <protection/>
    </xf>
    <xf numFmtId="0" fontId="0" fillId="9" borderId="0" xfId="0" applyFont="1" applyFill="1" applyAlignment="1" applyProtection="1">
      <alignment horizontal="center"/>
      <protection/>
    </xf>
    <xf numFmtId="168" fontId="118" fillId="9" borderId="0" xfId="49" applyNumberFormat="1" applyFont="1" applyFill="1" applyBorder="1" applyAlignment="1" applyProtection="1">
      <alignment/>
      <protection/>
    </xf>
    <xf numFmtId="10" fontId="118" fillId="9" borderId="0" xfId="57" applyNumberFormat="1" applyFont="1" applyFill="1" applyBorder="1" applyAlignment="1" applyProtection="1">
      <alignment/>
      <protection/>
    </xf>
    <xf numFmtId="10" fontId="118" fillId="9" borderId="0" xfId="57" applyNumberFormat="1" applyFont="1" applyFill="1" applyAlignment="1" applyProtection="1">
      <alignment horizontal="center"/>
      <protection locked="0"/>
    </xf>
    <xf numFmtId="164" fontId="118" fillId="9" borderId="0" xfId="0" applyNumberFormat="1" applyFont="1" applyFill="1" applyAlignment="1" applyProtection="1">
      <alignment horizontal="center"/>
      <protection locked="0"/>
    </xf>
    <xf numFmtId="10" fontId="118" fillId="9" borderId="0" xfId="0" applyNumberFormat="1" applyFont="1" applyFill="1" applyAlignment="1" applyProtection="1">
      <alignment/>
      <protection locked="0"/>
    </xf>
    <xf numFmtId="10" fontId="118" fillId="9" borderId="0" xfId="57" applyNumberFormat="1" applyFont="1" applyFill="1" applyAlignment="1" applyProtection="1">
      <alignment/>
      <protection hidden="1" locked="0"/>
    </xf>
    <xf numFmtId="168" fontId="125" fillId="9" borderId="0" xfId="49" applyNumberFormat="1" applyFont="1" applyFill="1" applyBorder="1" applyAlignment="1" applyProtection="1">
      <alignment horizontal="center" vertical="center" wrapText="1"/>
      <protection/>
    </xf>
    <xf numFmtId="3" fontId="118" fillId="9" borderId="0" xfId="57" applyNumberFormat="1" applyFont="1" applyFill="1" applyBorder="1" applyAlignment="1" applyProtection="1">
      <alignment horizontal="right"/>
      <protection/>
    </xf>
    <xf numFmtId="168" fontId="125" fillId="9" borderId="0" xfId="49" applyNumberFormat="1" applyFont="1" applyFill="1" applyBorder="1" applyAlignment="1" applyProtection="1">
      <alignment/>
      <protection/>
    </xf>
    <xf numFmtId="0" fontId="118" fillId="9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168" fontId="2" fillId="35" borderId="39" xfId="49" applyNumberFormat="1" applyFont="1" applyFill="1" applyBorder="1" applyAlignment="1" applyProtection="1">
      <alignment/>
      <protection hidden="1"/>
    </xf>
    <xf numFmtId="0" fontId="3" fillId="35" borderId="40" xfId="0" applyFont="1" applyFill="1" applyBorder="1" applyAlignment="1" applyProtection="1">
      <alignment/>
      <protection hidden="1"/>
    </xf>
    <xf numFmtId="0" fontId="2" fillId="35" borderId="41" xfId="0" applyFont="1" applyFill="1" applyBorder="1" applyAlignment="1" applyProtection="1">
      <alignment horizontal="center"/>
      <protection hidden="1" locked="0"/>
    </xf>
    <xf numFmtId="0" fontId="2" fillId="35" borderId="40" xfId="0" applyFont="1" applyFill="1" applyBorder="1" applyAlignment="1" applyProtection="1">
      <alignment horizontal="center"/>
      <protection hidden="1" locked="0"/>
    </xf>
    <xf numFmtId="0" fontId="3" fillId="35" borderId="41" xfId="0" applyFont="1" applyFill="1" applyBorder="1" applyAlignment="1" applyProtection="1">
      <alignment/>
      <protection hidden="1"/>
    </xf>
    <xf numFmtId="168" fontId="2" fillId="38" borderId="39" xfId="49" applyNumberFormat="1" applyFont="1" applyFill="1" applyBorder="1" applyAlignment="1" applyProtection="1">
      <alignment/>
      <protection hidden="1"/>
    </xf>
    <xf numFmtId="0" fontId="2" fillId="38" borderId="41" xfId="0" applyFont="1" applyFill="1" applyBorder="1" applyAlignment="1" applyProtection="1">
      <alignment horizontal="center"/>
      <protection hidden="1" locked="0"/>
    </xf>
    <xf numFmtId="168" fontId="2" fillId="38" borderId="39" xfId="49" applyNumberFormat="1" applyFont="1" applyFill="1" applyBorder="1" applyAlignment="1" applyProtection="1">
      <alignment horizontal="left"/>
      <protection hidden="1"/>
    </xf>
    <xf numFmtId="168" fontId="3" fillId="39" borderId="0" xfId="49" applyNumberFormat="1" applyFont="1" applyFill="1" applyAlignment="1" applyProtection="1">
      <alignment/>
      <protection hidden="1"/>
    </xf>
    <xf numFmtId="168" fontId="2" fillId="39" borderId="0" xfId="49" applyNumberFormat="1" applyFont="1" applyFill="1" applyAlignment="1" applyProtection="1">
      <alignment horizontal="right"/>
      <protection hidden="1"/>
    </xf>
    <xf numFmtId="0" fontId="3" fillId="39" borderId="0" xfId="0" applyFont="1" applyFill="1" applyBorder="1" applyAlignment="1" applyProtection="1">
      <alignment/>
      <protection hidden="1" locked="0"/>
    </xf>
    <xf numFmtId="0" fontId="3" fillId="39" borderId="0" xfId="0" applyFont="1" applyFill="1" applyAlignment="1" applyProtection="1">
      <alignment/>
      <protection hidden="1" locked="0"/>
    </xf>
    <xf numFmtId="0" fontId="2" fillId="39" borderId="0" xfId="0" applyFont="1" applyFill="1" applyBorder="1" applyAlignment="1" applyProtection="1">
      <alignment/>
      <protection hidden="1" locked="0"/>
    </xf>
    <xf numFmtId="168" fontId="2" fillId="39" borderId="39" xfId="49" applyNumberFormat="1" applyFont="1" applyFill="1" applyBorder="1" applyAlignment="1" applyProtection="1">
      <alignment/>
      <protection hidden="1"/>
    </xf>
    <xf numFmtId="0" fontId="2" fillId="39" borderId="41" xfId="0" applyFont="1" applyFill="1" applyBorder="1" applyAlignment="1" applyProtection="1">
      <alignment/>
      <protection hidden="1" locked="0"/>
    </xf>
    <xf numFmtId="169" fontId="3" fillId="8" borderId="0" xfId="0" applyNumberFormat="1" applyFont="1" applyFill="1" applyAlignment="1" applyProtection="1">
      <alignment/>
      <protection hidden="1" locked="0"/>
    </xf>
    <xf numFmtId="168" fontId="2" fillId="37" borderId="0" xfId="49" applyNumberFormat="1" applyFont="1" applyFill="1" applyAlignment="1" applyProtection="1">
      <alignment horizontal="right"/>
      <protection hidden="1"/>
    </xf>
    <xf numFmtId="10" fontId="3" fillId="38" borderId="42" xfId="57" applyNumberFormat="1" applyFont="1" applyFill="1" applyBorder="1" applyAlignment="1" applyProtection="1">
      <alignment/>
      <protection hidden="1"/>
    </xf>
    <xf numFmtId="10" fontId="3" fillId="38" borderId="43" xfId="57" applyNumberFormat="1" applyFont="1" applyFill="1" applyBorder="1" applyAlignment="1" applyProtection="1">
      <alignment/>
      <protection hidden="1"/>
    </xf>
    <xf numFmtId="10" fontId="3" fillId="38" borderId="44" xfId="57" applyNumberFormat="1" applyFont="1" applyFill="1" applyBorder="1" applyAlignment="1" applyProtection="1">
      <alignment/>
      <protection hidden="1"/>
    </xf>
    <xf numFmtId="9" fontId="3" fillId="38" borderId="0" xfId="57" applyFont="1" applyFill="1" applyAlignment="1" applyProtection="1">
      <alignment/>
      <protection hidden="1" locked="0"/>
    </xf>
    <xf numFmtId="169" fontId="3" fillId="38" borderId="0" xfId="57" applyNumberFormat="1" applyFont="1" applyFill="1" applyAlignment="1" applyProtection="1">
      <alignment/>
      <protection hidden="1" locked="0"/>
    </xf>
    <xf numFmtId="43" fontId="3" fillId="8" borderId="0" xfId="0" applyNumberFormat="1" applyFont="1" applyFill="1" applyAlignment="1" applyProtection="1">
      <alignment/>
      <protection hidden="1" locked="0"/>
    </xf>
    <xf numFmtId="0" fontId="2" fillId="2" borderId="0" xfId="0" applyFont="1" applyFill="1" applyAlignment="1" applyProtection="1">
      <alignment/>
      <protection hidden="1" locked="0"/>
    </xf>
    <xf numFmtId="0" fontId="2" fillId="8" borderId="0" xfId="0" applyFont="1" applyFill="1" applyAlignment="1" applyProtection="1">
      <alignment/>
      <protection hidden="1" locked="0"/>
    </xf>
    <xf numFmtId="182" fontId="2" fillId="2" borderId="0" xfId="49" applyNumberFormat="1" applyFont="1" applyFill="1" applyAlignment="1" applyProtection="1">
      <alignment/>
      <protection hidden="1" locked="0"/>
    </xf>
    <xf numFmtId="2" fontId="3" fillId="37" borderId="10" xfId="0" applyNumberFormat="1" applyFont="1" applyFill="1" applyBorder="1" applyAlignment="1" applyProtection="1">
      <alignment/>
      <protection hidden="1"/>
    </xf>
    <xf numFmtId="0" fontId="12" fillId="3" borderId="0" xfId="0" applyFont="1" applyFill="1" applyAlignment="1">
      <alignment/>
    </xf>
    <xf numFmtId="0" fontId="8" fillId="3" borderId="0" xfId="0" applyFont="1" applyFill="1" applyAlignment="1" applyProtection="1">
      <alignment/>
      <protection hidden="1" locked="0"/>
    </xf>
    <xf numFmtId="0" fontId="8" fillId="3" borderId="0" xfId="0" applyFont="1" applyFill="1" applyAlignment="1">
      <alignment/>
    </xf>
    <xf numFmtId="167" fontId="8" fillId="3" borderId="0" xfId="49" applyFont="1" applyFill="1" applyAlignment="1">
      <alignment/>
    </xf>
    <xf numFmtId="168" fontId="8" fillId="3" borderId="0" xfId="49" applyNumberFormat="1" applyFont="1" applyFill="1" applyAlignment="1">
      <alignment/>
    </xf>
    <xf numFmtId="9" fontId="8" fillId="3" borderId="0" xfId="0" applyNumberFormat="1" applyFont="1" applyFill="1" applyAlignment="1" applyProtection="1">
      <alignment/>
      <protection hidden="1" locked="0"/>
    </xf>
    <xf numFmtId="167" fontId="12" fillId="3" borderId="0" xfId="49" applyFont="1" applyFill="1" applyAlignment="1">
      <alignment/>
    </xf>
    <xf numFmtId="179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vertical="center" wrapText="1"/>
      <protection hidden="1"/>
    </xf>
    <xf numFmtId="0" fontId="18" fillId="0" borderId="45" xfId="0" applyFont="1" applyBorder="1" applyAlignment="1" applyProtection="1">
      <alignment vertical="center" wrapText="1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  <xf numFmtId="0" fontId="18" fillId="0" borderId="47" xfId="0" applyFont="1" applyBorder="1" applyAlignment="1" applyProtection="1">
      <alignment horizontal="center" vertical="center" wrapText="1"/>
      <protection hidden="1"/>
    </xf>
    <xf numFmtId="8" fontId="19" fillId="0" borderId="46" xfId="0" applyNumberFormat="1" applyFont="1" applyBorder="1" applyAlignment="1" applyProtection="1">
      <alignment horizontal="center" vertical="center" wrapText="1"/>
      <protection hidden="1"/>
    </xf>
    <xf numFmtId="0" fontId="19" fillId="0" borderId="48" xfId="0" applyFont="1" applyBorder="1" applyAlignment="1" applyProtection="1">
      <alignment horizontal="center" vertical="center" wrapText="1"/>
      <protection hidden="1"/>
    </xf>
    <xf numFmtId="0" fontId="19" fillId="0" borderId="47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98" fillId="37" borderId="49" xfId="0" applyFont="1" applyFill="1" applyBorder="1" applyAlignment="1">
      <alignment horizontal="center" vertical="center" wrapText="1"/>
    </xf>
    <xf numFmtId="0" fontId="98" fillId="37" borderId="50" xfId="0" applyFont="1" applyFill="1" applyBorder="1" applyAlignment="1">
      <alignment horizontal="center" vertical="center" wrapText="1"/>
    </xf>
    <xf numFmtId="0" fontId="98" fillId="37" borderId="51" xfId="0" applyFont="1" applyFill="1" applyBorder="1" applyAlignment="1">
      <alignment horizontal="center" vertical="center" wrapText="1"/>
    </xf>
    <xf numFmtId="14" fontId="112" fillId="0" borderId="5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126" fillId="37" borderId="0" xfId="0" applyFont="1" applyFill="1" applyBorder="1" applyAlignment="1">
      <alignment horizontal="center" vertical="center" wrapText="1"/>
    </xf>
    <xf numFmtId="168" fontId="3" fillId="11" borderId="0" xfId="49" applyNumberFormat="1" applyFont="1" applyFill="1" applyBorder="1" applyAlignment="1" applyProtection="1">
      <alignment/>
      <protection hidden="1"/>
    </xf>
    <xf numFmtId="9" fontId="3" fillId="11" borderId="0" xfId="0" applyNumberFormat="1" applyFont="1" applyFill="1" applyBorder="1" applyAlignment="1" applyProtection="1">
      <alignment/>
      <protection hidden="1" locked="0"/>
    </xf>
    <xf numFmtId="0" fontId="3" fillId="40" borderId="0" xfId="0" applyFont="1" applyFill="1" applyAlignment="1" applyProtection="1">
      <alignment/>
      <protection hidden="1" locked="0"/>
    </xf>
    <xf numFmtId="178" fontId="120" fillId="2" borderId="0" xfId="0" applyNumberFormat="1" applyFont="1" applyFill="1" applyAlignment="1" applyProtection="1">
      <alignment/>
      <protection hidden="1" locked="0"/>
    </xf>
    <xf numFmtId="184" fontId="3" fillId="33" borderId="0" xfId="49" applyNumberFormat="1" applyFont="1" applyFill="1" applyAlignment="1" applyProtection="1">
      <alignment/>
      <protection hidden="1" locked="0"/>
    </xf>
    <xf numFmtId="10" fontId="0" fillId="0" borderId="0" xfId="57" applyNumberFormat="1" applyFont="1" applyAlignment="1" applyProtection="1">
      <alignment/>
      <protection/>
    </xf>
    <xf numFmtId="178" fontId="3" fillId="0" borderId="0" xfId="57" applyNumberFormat="1" applyFont="1" applyAlignment="1" applyProtection="1">
      <alignment/>
      <protection/>
    </xf>
    <xf numFmtId="9" fontId="3" fillId="33" borderId="0" xfId="0" applyNumberFormat="1" applyFont="1" applyFill="1" applyAlignment="1" applyProtection="1">
      <alignment/>
      <protection hidden="1" locked="0"/>
    </xf>
    <xf numFmtId="179" fontId="3" fillId="40" borderId="0" xfId="52" applyNumberFormat="1" applyFont="1" applyFill="1" applyBorder="1" applyAlignment="1" applyProtection="1">
      <alignment/>
      <protection hidden="1"/>
    </xf>
    <xf numFmtId="168" fontId="2" fillId="41" borderId="23" xfId="49" applyNumberFormat="1" applyFont="1" applyFill="1" applyBorder="1" applyAlignment="1" applyProtection="1">
      <alignment horizontal="right"/>
      <protection hidden="1"/>
    </xf>
    <xf numFmtId="168" fontId="3" fillId="41" borderId="0" xfId="49" applyNumberFormat="1" applyFont="1" applyFill="1" applyBorder="1" applyAlignment="1" applyProtection="1">
      <alignment/>
      <protection hidden="1"/>
    </xf>
    <xf numFmtId="0" fontId="3" fillId="41" borderId="14" xfId="0" applyFont="1" applyFill="1" applyBorder="1" applyAlignment="1" applyProtection="1">
      <alignment/>
      <protection hidden="1"/>
    </xf>
    <xf numFmtId="0" fontId="3" fillId="41" borderId="0" xfId="0" applyFont="1" applyFill="1" applyBorder="1" applyAlignment="1" applyProtection="1">
      <alignment/>
      <protection hidden="1"/>
    </xf>
    <xf numFmtId="0" fontId="3" fillId="41" borderId="14" xfId="0" applyFont="1" applyFill="1" applyBorder="1" applyAlignment="1" applyProtection="1">
      <alignment/>
      <protection hidden="1" locked="0"/>
    </xf>
    <xf numFmtId="0" fontId="3" fillId="41" borderId="0" xfId="0" applyFont="1" applyFill="1" applyBorder="1" applyAlignment="1" applyProtection="1">
      <alignment/>
      <protection hidden="1" locked="0"/>
    </xf>
    <xf numFmtId="10" fontId="3" fillId="41" borderId="16" xfId="0" applyNumberFormat="1" applyFont="1" applyFill="1" applyBorder="1" applyAlignment="1" applyProtection="1">
      <alignment/>
      <protection hidden="1" locked="0"/>
    </xf>
    <xf numFmtId="10" fontId="127" fillId="37" borderId="15" xfId="0" applyNumberFormat="1" applyFont="1" applyFill="1" applyBorder="1" applyAlignment="1" applyProtection="1">
      <alignment/>
      <protection hidden="1" locked="0"/>
    </xf>
    <xf numFmtId="0" fontId="127" fillId="37" borderId="10" xfId="0" applyFont="1" applyFill="1" applyBorder="1" applyAlignment="1" applyProtection="1">
      <alignment/>
      <protection hidden="1"/>
    </xf>
    <xf numFmtId="10" fontId="127" fillId="37" borderId="16" xfId="0" applyNumberFormat="1" applyFont="1" applyFill="1" applyBorder="1" applyAlignment="1" applyProtection="1">
      <alignment/>
      <protection hidden="1" locked="0"/>
    </xf>
    <xf numFmtId="0" fontId="127" fillId="37" borderId="10" xfId="0" applyFont="1" applyFill="1" applyBorder="1" applyAlignment="1" applyProtection="1">
      <alignment/>
      <protection hidden="1" locked="0"/>
    </xf>
    <xf numFmtId="168" fontId="127" fillId="37" borderId="0" xfId="49" applyNumberFormat="1" applyFont="1" applyFill="1" applyAlignment="1" applyProtection="1">
      <alignment horizontal="right"/>
      <protection hidden="1"/>
    </xf>
    <xf numFmtId="168" fontId="3" fillId="38" borderId="0" xfId="49" applyNumberFormat="1" applyFont="1" applyFill="1" applyAlignment="1" applyProtection="1">
      <alignment horizontal="center"/>
      <protection hidden="1"/>
    </xf>
    <xf numFmtId="0" fontId="3" fillId="38" borderId="0" xfId="49" applyNumberFormat="1" applyFont="1" applyFill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0" fontId="6" fillId="42" borderId="53" xfId="0" applyFont="1" applyFill="1" applyBorder="1" applyAlignment="1">
      <alignment horizontal="center" vertical="center" wrapText="1"/>
    </xf>
    <xf numFmtId="9" fontId="6" fillId="0" borderId="5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9" fontId="6" fillId="42" borderId="53" xfId="0" applyNumberFormat="1" applyFont="1" applyFill="1" applyBorder="1" applyAlignment="1">
      <alignment horizontal="center" vertical="center" wrapText="1"/>
    </xf>
    <xf numFmtId="0" fontId="112" fillId="0" borderId="54" xfId="0" applyFont="1" applyFill="1" applyBorder="1" applyAlignment="1">
      <alignment vertical="center" wrapText="1"/>
    </xf>
    <xf numFmtId="0" fontId="128" fillId="0" borderId="0" xfId="0" applyFont="1" applyAlignment="1">
      <alignment/>
    </xf>
    <xf numFmtId="0" fontId="128" fillId="0" borderId="0" xfId="0" applyFont="1" applyBorder="1" applyAlignment="1">
      <alignment/>
    </xf>
    <xf numFmtId="0" fontId="128" fillId="0" borderId="0" xfId="0" applyFont="1" applyFill="1" applyBorder="1" applyAlignment="1">
      <alignment/>
    </xf>
    <xf numFmtId="0" fontId="128" fillId="0" borderId="0" xfId="0" applyFont="1" applyFill="1" applyAlignment="1">
      <alignment/>
    </xf>
    <xf numFmtId="0" fontId="128" fillId="0" borderId="0" xfId="0" applyFont="1" applyFill="1" applyBorder="1" applyAlignment="1">
      <alignment vertical="center" wrapText="1"/>
    </xf>
    <xf numFmtId="10" fontId="2" fillId="41" borderId="0" xfId="0" applyNumberFormat="1" applyFont="1" applyFill="1" applyAlignment="1" applyProtection="1">
      <alignment horizontal="right"/>
      <protection hidden="1" locked="0"/>
    </xf>
    <xf numFmtId="0" fontId="2" fillId="41" borderId="0" xfId="0" applyFont="1" applyFill="1" applyAlignment="1" applyProtection="1">
      <alignment horizontal="right"/>
      <protection hidden="1"/>
    </xf>
    <xf numFmtId="10" fontId="2" fillId="41" borderId="0" xfId="57" applyNumberFormat="1" applyFont="1" applyFill="1" applyAlignment="1" applyProtection="1">
      <alignment horizontal="right"/>
      <protection hidden="1"/>
    </xf>
    <xf numFmtId="2" fontId="2" fillId="41" borderId="0" xfId="0" applyNumberFormat="1" applyFont="1" applyFill="1" applyAlignment="1" applyProtection="1">
      <alignment horizontal="right"/>
      <protection hidden="1"/>
    </xf>
    <xf numFmtId="1" fontId="113" fillId="9" borderId="0" xfId="0" applyNumberFormat="1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 hidden="1" locked="0"/>
    </xf>
    <xf numFmtId="10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169" fontId="18" fillId="0" borderId="46" xfId="0" applyNumberFormat="1" applyFont="1" applyBorder="1" applyAlignment="1" applyProtection="1">
      <alignment horizontal="center" vertical="center" wrapText="1"/>
      <protection hidden="1"/>
    </xf>
    <xf numFmtId="173" fontId="6" fillId="0" borderId="33" xfId="49" applyNumberFormat="1" applyFont="1" applyBorder="1" applyAlignment="1" applyProtection="1">
      <alignment horizontal="left"/>
      <protection hidden="1" locked="0"/>
    </xf>
    <xf numFmtId="168" fontId="3" fillId="38" borderId="54" xfId="49" applyNumberFormat="1" applyFont="1" applyFill="1" applyBorder="1" applyAlignment="1" applyProtection="1">
      <alignment/>
      <protection hidden="1"/>
    </xf>
    <xf numFmtId="0" fontId="3" fillId="38" borderId="54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0" xfId="0" applyFont="1" applyFill="1" applyBorder="1" applyAlignment="1" applyProtection="1">
      <alignment horizontal="left" vertical="top"/>
      <protection hidden="1"/>
    </xf>
    <xf numFmtId="8" fontId="113" fillId="9" borderId="0" xfId="0" applyNumberFormat="1" applyFont="1" applyFill="1" applyAlignment="1" applyProtection="1">
      <alignment/>
      <protection/>
    </xf>
    <xf numFmtId="165" fontId="3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3" fillId="38" borderId="54" xfId="0" applyFont="1" applyFill="1" applyBorder="1" applyAlignment="1" applyProtection="1">
      <alignment/>
      <protection hidden="1" locked="0"/>
    </xf>
    <xf numFmtId="0" fontId="2" fillId="16" borderId="0" xfId="0" applyFont="1" applyFill="1" applyAlignment="1">
      <alignment horizontal="center"/>
    </xf>
    <xf numFmtId="176" fontId="129" fillId="16" borderId="0" xfId="49" applyNumberFormat="1" applyFont="1" applyFill="1" applyAlignment="1">
      <alignment/>
    </xf>
    <xf numFmtId="185" fontId="113" fillId="9" borderId="0" xfId="0" applyNumberFormat="1" applyFont="1" applyFill="1" applyAlignment="1" applyProtection="1">
      <alignment/>
      <protection/>
    </xf>
    <xf numFmtId="0" fontId="2" fillId="6" borderId="10" xfId="0" applyFont="1" applyFill="1" applyBorder="1" applyAlignment="1" applyProtection="1">
      <alignment horizontal="center" wrapText="1"/>
      <protection locked="0"/>
    </xf>
    <xf numFmtId="4" fontId="2" fillId="6" borderId="10" xfId="0" applyNumberFormat="1" applyFont="1" applyFill="1" applyBorder="1" applyAlignment="1" applyProtection="1">
      <alignment horizontal="center" wrapText="1"/>
      <protection locked="0"/>
    </xf>
    <xf numFmtId="10" fontId="2" fillId="6" borderId="10" xfId="0" applyNumberFormat="1" applyFont="1" applyFill="1" applyBorder="1" applyAlignment="1" applyProtection="1">
      <alignment horizontal="center" wrapText="1"/>
      <protection locked="0"/>
    </xf>
    <xf numFmtId="167" fontId="118" fillId="9" borderId="0" xfId="49" applyNumberFormat="1" applyFont="1" applyFill="1" applyBorder="1" applyAlignment="1" applyProtection="1">
      <alignment/>
      <protection/>
    </xf>
    <xf numFmtId="10" fontId="113" fillId="43" borderId="0" xfId="57" applyNumberFormat="1" applyFont="1" applyFill="1" applyAlignment="1" applyProtection="1">
      <alignment/>
      <protection locked="0"/>
    </xf>
    <xf numFmtId="10" fontId="130" fillId="36" borderId="0" xfId="57" applyNumberFormat="1" applyFont="1" applyFill="1" applyAlignment="1" applyProtection="1">
      <alignment horizontal="center"/>
      <protection/>
    </xf>
    <xf numFmtId="0" fontId="131" fillId="43" borderId="0" xfId="0" applyFont="1" applyFill="1" applyAlignment="1" applyProtection="1">
      <alignment/>
      <protection/>
    </xf>
    <xf numFmtId="3" fontId="113" fillId="43" borderId="0" xfId="0" applyNumberFormat="1" applyFont="1" applyFill="1" applyAlignment="1" applyProtection="1">
      <alignment horizontal="center"/>
      <protection/>
    </xf>
    <xf numFmtId="172" fontId="113" fillId="43" borderId="0" xfId="57" applyNumberFormat="1" applyFont="1" applyFill="1" applyAlignment="1" applyProtection="1">
      <alignment/>
      <protection/>
    </xf>
    <xf numFmtId="168" fontId="125" fillId="43" borderId="0" xfId="49" applyNumberFormat="1" applyFont="1" applyFill="1" applyBorder="1" applyAlignment="1" applyProtection="1">
      <alignment horizontal="center"/>
      <protection/>
    </xf>
    <xf numFmtId="10" fontId="113" fillId="19" borderId="0" xfId="57" applyNumberFormat="1" applyFont="1" applyFill="1" applyAlignment="1" applyProtection="1">
      <alignment/>
      <protection/>
    </xf>
    <xf numFmtId="0" fontId="2" fillId="9" borderId="10" xfId="0" applyFont="1" applyFill="1" applyBorder="1" applyAlignment="1" applyProtection="1">
      <alignment horizontal="center" wrapText="1"/>
      <protection locked="0"/>
    </xf>
    <xf numFmtId="0" fontId="0" fillId="7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/>
    </xf>
    <xf numFmtId="0" fontId="12" fillId="7" borderId="0" xfId="0" applyFont="1" applyFill="1" applyAlignment="1">
      <alignment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3" fillId="2" borderId="0" xfId="0" applyFont="1" applyFill="1" applyAlignment="1" applyProtection="1">
      <alignment/>
      <protection/>
    </xf>
    <xf numFmtId="186" fontId="3" fillId="2" borderId="0" xfId="0" applyNumberFormat="1" applyFont="1" applyFill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/>
    </xf>
    <xf numFmtId="0" fontId="6" fillId="7" borderId="0" xfId="0" applyFont="1" applyFill="1" applyAlignment="1">
      <alignment/>
    </xf>
    <xf numFmtId="8" fontId="0" fillId="0" borderId="0" xfId="0" applyNumberFormat="1" applyAlignment="1" applyProtection="1">
      <alignment/>
      <protection/>
    </xf>
    <xf numFmtId="3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0" fillId="0" borderId="0" xfId="57" applyFont="1" applyAlignment="1" applyProtection="1">
      <alignment/>
      <protection/>
    </xf>
    <xf numFmtId="0" fontId="24" fillId="6" borderId="10" xfId="0" applyFont="1" applyFill="1" applyBorder="1" applyAlignment="1" applyProtection="1">
      <alignment horizontal="center" wrapText="1"/>
      <protection locked="0"/>
    </xf>
    <xf numFmtId="168" fontId="125" fillId="0" borderId="0" xfId="49" applyNumberFormat="1" applyFont="1" applyFill="1" applyBorder="1" applyAlignment="1" applyProtection="1">
      <alignment/>
      <protection/>
    </xf>
    <xf numFmtId="168" fontId="118" fillId="0" borderId="0" xfId="49" applyNumberFormat="1" applyFont="1" applyFill="1" applyBorder="1" applyAlignment="1" applyProtection="1">
      <alignment/>
      <protection/>
    </xf>
    <xf numFmtId="0" fontId="113" fillId="0" borderId="0" xfId="0" applyFont="1" applyFill="1" applyAlignment="1" applyProtection="1">
      <alignment/>
      <protection/>
    </xf>
    <xf numFmtId="0" fontId="113" fillId="0" borderId="0" xfId="0" applyFont="1" applyFill="1" applyAlignment="1" applyProtection="1">
      <alignment/>
      <protection locked="0"/>
    </xf>
    <xf numFmtId="10" fontId="118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/>
    </xf>
    <xf numFmtId="0" fontId="113" fillId="0" borderId="0" xfId="0" applyFont="1" applyFill="1" applyBorder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2" fillId="19" borderId="21" xfId="0" applyFont="1" applyFill="1" applyBorder="1" applyAlignment="1" applyProtection="1">
      <alignment horizontal="right"/>
      <protection hidden="1" locked="0"/>
    </xf>
    <xf numFmtId="0" fontId="2" fillId="19" borderId="22" xfId="0" applyFont="1" applyFill="1" applyBorder="1" applyAlignment="1" applyProtection="1">
      <alignment horizontal="right"/>
      <protection hidden="1" locked="0"/>
    </xf>
    <xf numFmtId="0" fontId="3" fillId="19" borderId="13" xfId="0" applyFont="1" applyFill="1" applyBorder="1" applyAlignment="1" applyProtection="1">
      <alignment horizontal="right"/>
      <protection hidden="1" locked="0"/>
    </xf>
    <xf numFmtId="0" fontId="3" fillId="19" borderId="21" xfId="0" applyFont="1" applyFill="1" applyBorder="1" applyAlignment="1" applyProtection="1">
      <alignment/>
      <protection hidden="1" locked="0"/>
    </xf>
    <xf numFmtId="168" fontId="132" fillId="37" borderId="0" xfId="49" applyNumberFormat="1" applyFont="1" applyFill="1" applyAlignment="1" applyProtection="1">
      <alignment horizontal="right"/>
      <protection hidden="1"/>
    </xf>
    <xf numFmtId="0" fontId="6" fillId="45" borderId="46" xfId="0" applyFont="1" applyFill="1" applyBorder="1" applyAlignment="1">
      <alignment horizontal="center" vertical="center" wrapText="1"/>
    </xf>
    <xf numFmtId="0" fontId="6" fillId="45" borderId="47" xfId="0" applyFont="1" applyFill="1" applyBorder="1" applyAlignment="1">
      <alignment horizontal="center" vertical="center" wrapText="1"/>
    </xf>
    <xf numFmtId="9" fontId="133" fillId="34" borderId="0" xfId="0" applyNumberFormat="1" applyFont="1" applyFill="1" applyAlignment="1" applyProtection="1">
      <alignment/>
      <protection hidden="1" locked="0"/>
    </xf>
    <xf numFmtId="9" fontId="134" fillId="34" borderId="0" xfId="0" applyNumberFormat="1" applyFont="1" applyFill="1" applyAlignment="1" applyProtection="1">
      <alignment/>
      <protection hidden="1" locked="0"/>
    </xf>
    <xf numFmtId="187" fontId="3" fillId="0" borderId="0" xfId="49" applyNumberFormat="1" applyFont="1" applyAlignment="1" applyProtection="1">
      <alignment/>
      <protection hidden="1"/>
    </xf>
    <xf numFmtId="9" fontId="135" fillId="42" borderId="5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9" fontId="135" fillId="0" borderId="5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114" fillId="38" borderId="0" xfId="49" applyNumberFormat="1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9" fontId="3" fillId="0" borderId="23" xfId="0" applyNumberFormat="1" applyFont="1" applyBorder="1" applyAlignment="1" applyProtection="1">
      <alignment horizontal="center"/>
      <protection hidden="1"/>
    </xf>
    <xf numFmtId="9" fontId="3" fillId="0" borderId="0" xfId="0" applyNumberFormat="1" applyFont="1" applyBorder="1" applyAlignment="1" applyProtection="1">
      <alignment horizontal="center"/>
      <protection hidden="1"/>
    </xf>
    <xf numFmtId="9" fontId="3" fillId="0" borderId="14" xfId="0" applyNumberFormat="1" applyFont="1" applyBorder="1" applyAlignment="1" applyProtection="1">
      <alignment horizontal="center"/>
      <protection hidden="1"/>
    </xf>
    <xf numFmtId="9" fontId="3" fillId="0" borderId="15" xfId="0" applyNumberFormat="1" applyFont="1" applyBorder="1" applyAlignment="1" applyProtection="1">
      <alignment horizontal="center"/>
      <protection hidden="1"/>
    </xf>
    <xf numFmtId="9" fontId="3" fillId="0" borderId="10" xfId="0" applyNumberFormat="1" applyFont="1" applyBorder="1" applyAlignment="1" applyProtection="1">
      <alignment horizontal="center"/>
      <protection hidden="1"/>
    </xf>
    <xf numFmtId="9" fontId="3" fillId="0" borderId="16" xfId="0" applyNumberFormat="1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9" fontId="3" fillId="0" borderId="43" xfId="0" applyNumberFormat="1" applyFont="1" applyBorder="1" applyAlignment="1" applyProtection="1">
      <alignment horizontal="center"/>
      <protection hidden="1"/>
    </xf>
    <xf numFmtId="9" fontId="3" fillId="0" borderId="44" xfId="0" applyNumberFormat="1" applyFont="1" applyBorder="1" applyAlignment="1" applyProtection="1">
      <alignment horizontal="center"/>
      <protection hidden="1"/>
    </xf>
    <xf numFmtId="0" fontId="3" fillId="7" borderId="42" xfId="0" applyFont="1" applyFill="1" applyBorder="1" applyAlignment="1" applyProtection="1">
      <alignment/>
      <protection hidden="1"/>
    </xf>
    <xf numFmtId="0" fontId="3" fillId="7" borderId="44" xfId="0" applyFont="1" applyFill="1" applyBorder="1" applyAlignment="1" applyProtection="1">
      <alignment horizontal="center"/>
      <protection hidden="1"/>
    </xf>
    <xf numFmtId="0" fontId="120" fillId="8" borderId="0" xfId="0" applyFont="1" applyFill="1" applyAlignment="1" applyProtection="1">
      <alignment horizontal="center"/>
      <protection hidden="1"/>
    </xf>
    <xf numFmtId="0" fontId="3" fillId="19" borderId="0" xfId="0" applyFont="1" applyFill="1" applyAlignment="1" applyProtection="1">
      <alignment/>
      <protection hidden="1"/>
    </xf>
    <xf numFmtId="0" fontId="3" fillId="19" borderId="0" xfId="0" applyFont="1" applyFill="1" applyAlignment="1" applyProtection="1">
      <alignment/>
      <protection hidden="1" locked="0"/>
    </xf>
    <xf numFmtId="9" fontId="120" fillId="19" borderId="0" xfId="0" applyNumberFormat="1" applyFont="1" applyFill="1" applyAlignment="1" applyProtection="1">
      <alignment horizontal="center"/>
      <protection hidden="1" locked="0"/>
    </xf>
    <xf numFmtId="176" fontId="129" fillId="0" borderId="0" xfId="49" applyNumberFormat="1" applyFont="1" applyFill="1" applyAlignment="1">
      <alignment/>
    </xf>
    <xf numFmtId="10" fontId="3" fillId="0" borderId="0" xfId="0" applyNumberFormat="1" applyFont="1" applyAlignment="1" applyProtection="1">
      <alignment/>
      <protection hidden="1"/>
    </xf>
    <xf numFmtId="174" fontId="3" fillId="0" borderId="0" xfId="0" applyNumberFormat="1" applyFont="1" applyBorder="1" applyAlignment="1" applyProtection="1">
      <alignment/>
      <protection hidden="1"/>
    </xf>
    <xf numFmtId="168" fontId="3" fillId="16" borderId="0" xfId="49" applyNumberFormat="1" applyFont="1" applyFill="1" applyAlignment="1" applyProtection="1">
      <alignment/>
      <protection hidden="1"/>
    </xf>
    <xf numFmtId="0" fontId="3" fillId="16" borderId="0" xfId="0" applyFont="1" applyFill="1" applyAlignment="1" applyProtection="1">
      <alignment/>
      <protection hidden="1"/>
    </xf>
    <xf numFmtId="168" fontId="3" fillId="16" borderId="54" xfId="49" applyNumberFormat="1" applyFont="1" applyFill="1" applyBorder="1" applyAlignment="1" applyProtection="1">
      <alignment/>
      <protection hidden="1"/>
    </xf>
    <xf numFmtId="0" fontId="3" fillId="16" borderId="54" xfId="0" applyFont="1" applyFill="1" applyBorder="1" applyAlignment="1" applyProtection="1">
      <alignment/>
      <protection hidden="1"/>
    </xf>
    <xf numFmtId="167" fontId="3" fillId="38" borderId="0" xfId="49" applyFont="1" applyFill="1" applyAlignment="1" applyProtection="1">
      <alignment/>
      <protection hidden="1" locked="0"/>
    </xf>
    <xf numFmtId="43" fontId="3" fillId="38" borderId="0" xfId="0" applyNumberFormat="1" applyFont="1" applyFill="1" applyAlignment="1" applyProtection="1">
      <alignment/>
      <protection hidden="1" locked="0"/>
    </xf>
    <xf numFmtId="179" fontId="3" fillId="0" borderId="0" xfId="0" applyNumberFormat="1" applyFont="1" applyAlignment="1" applyProtection="1">
      <alignment/>
      <protection hidden="1"/>
    </xf>
    <xf numFmtId="188" fontId="3" fillId="0" borderId="0" xfId="0" applyNumberFormat="1" applyFont="1" applyAlignment="1" applyProtection="1">
      <alignment/>
      <protection hidden="1"/>
    </xf>
    <xf numFmtId="0" fontId="2" fillId="0" borderId="53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168" fontId="3" fillId="46" borderId="0" xfId="49" applyNumberFormat="1" applyFont="1" applyFill="1" applyAlignment="1" applyProtection="1">
      <alignment/>
      <protection hidden="1"/>
    </xf>
    <xf numFmtId="179" fontId="114" fillId="0" borderId="0" xfId="52" applyNumberFormat="1" applyFont="1" applyFill="1" applyBorder="1" applyAlignment="1" applyProtection="1">
      <alignment/>
      <protection hidden="1"/>
    </xf>
    <xf numFmtId="183" fontId="3" fillId="0" borderId="0" xfId="49" applyNumberFormat="1" applyFont="1" applyBorder="1" applyAlignment="1" applyProtection="1">
      <alignment/>
      <protection hidden="1"/>
    </xf>
    <xf numFmtId="180" fontId="3" fillId="0" borderId="0" xfId="49" applyNumberFormat="1" applyFont="1" applyBorder="1" applyAlignment="1" applyProtection="1">
      <alignment/>
      <protection hidden="1"/>
    </xf>
    <xf numFmtId="167" fontId="3" fillId="38" borderId="0" xfId="49" applyNumberFormat="1" applyFont="1" applyFill="1" applyAlignment="1" applyProtection="1">
      <alignment/>
      <protection hidden="1" locked="0"/>
    </xf>
    <xf numFmtId="9" fontId="3" fillId="0" borderId="0" xfId="57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7" fontId="117" fillId="3" borderId="0" xfId="49" applyFont="1" applyFill="1" applyAlignment="1">
      <alignment/>
    </xf>
    <xf numFmtId="43" fontId="3" fillId="0" borderId="0" xfId="0" applyNumberFormat="1" applyFont="1" applyAlignment="1" applyProtection="1">
      <alignment/>
      <protection hidden="1"/>
    </xf>
    <xf numFmtId="175" fontId="114" fillId="38" borderId="0" xfId="0" applyNumberFormat="1" applyFont="1" applyFill="1" applyAlignment="1" applyProtection="1">
      <alignment/>
      <protection hidden="1" locked="0"/>
    </xf>
    <xf numFmtId="176" fontId="136" fillId="38" borderId="0" xfId="49" applyNumberFormat="1" applyFont="1" applyFill="1" applyAlignment="1">
      <alignment/>
    </xf>
    <xf numFmtId="168" fontId="137" fillId="0" borderId="0" xfId="49" applyNumberFormat="1" applyFont="1" applyBorder="1" applyAlignment="1" applyProtection="1">
      <alignment horizontal="left"/>
      <protection hidden="1"/>
    </xf>
    <xf numFmtId="0" fontId="138" fillId="9" borderId="0" xfId="0" applyFont="1" applyFill="1" applyAlignment="1" applyProtection="1">
      <alignment/>
      <protection locked="0"/>
    </xf>
    <xf numFmtId="0" fontId="138" fillId="9" borderId="0" xfId="0" applyFont="1" applyFill="1" applyAlignment="1" applyProtection="1">
      <alignment/>
      <protection/>
    </xf>
    <xf numFmtId="10" fontId="19" fillId="0" borderId="47" xfId="0" applyNumberFormat="1" applyFont="1" applyBorder="1" applyAlignment="1" applyProtection="1">
      <alignment horizontal="center" vertical="center" wrapText="1"/>
      <protection hidden="1"/>
    </xf>
    <xf numFmtId="0" fontId="112" fillId="0" borderId="55" xfId="0" applyFont="1" applyFill="1" applyBorder="1" applyAlignment="1">
      <alignment horizontal="center"/>
    </xf>
    <xf numFmtId="168" fontId="8" fillId="0" borderId="0" xfId="49" applyNumberFormat="1" applyFont="1" applyBorder="1" applyAlignment="1" applyProtection="1">
      <alignment horizontal="left"/>
      <protection hidden="1"/>
    </xf>
    <xf numFmtId="14" fontId="0" fillId="0" borderId="0" xfId="0" applyNumberFormat="1" applyAlignment="1" applyProtection="1">
      <alignment/>
      <protection/>
    </xf>
    <xf numFmtId="10" fontId="3" fillId="13" borderId="14" xfId="0" applyNumberFormat="1" applyFont="1" applyFill="1" applyBorder="1" applyAlignment="1" applyProtection="1">
      <alignment/>
      <protection hidden="1" locked="0"/>
    </xf>
    <xf numFmtId="10" fontId="118" fillId="9" borderId="0" xfId="0" applyNumberFormat="1" applyFont="1" applyFill="1" applyAlignment="1" applyProtection="1">
      <alignment horizontal="center"/>
      <protection locked="0"/>
    </xf>
    <xf numFmtId="167" fontId="0" fillId="3" borderId="0" xfId="51" applyFont="1" applyFill="1" applyAlignment="1">
      <alignment/>
    </xf>
    <xf numFmtId="167" fontId="135" fillId="3" borderId="0" xfId="51" applyFont="1" applyFill="1" applyAlignment="1">
      <alignment/>
    </xf>
    <xf numFmtId="3" fontId="6" fillId="0" borderId="0" xfId="0" applyNumberFormat="1" applyFont="1" applyAlignment="1" applyProtection="1">
      <alignment horizontal="left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3" fillId="0" borderId="0" xfId="0" applyFont="1" applyFill="1" applyBorder="1" applyAlignment="1" applyProtection="1" quotePrefix="1">
      <alignment horizontal="left"/>
      <protection hidden="1"/>
    </xf>
    <xf numFmtId="169" fontId="3" fillId="0" borderId="0" xfId="0" applyNumberFormat="1" applyFont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 wrapText="1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8" fontId="2" fillId="0" borderId="25" xfId="49" applyNumberFormat="1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center" wrapText="1"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wrapText="1"/>
      <protection hidden="1"/>
    </xf>
    <xf numFmtId="0" fontId="0" fillId="0" borderId="0" xfId="0" applyFont="1" applyAlignment="1">
      <alignment/>
    </xf>
    <xf numFmtId="0" fontId="139" fillId="47" borderId="57" xfId="0" applyFont="1" applyFill="1" applyBorder="1" applyAlignment="1">
      <alignment horizontal="center" vertical="center" wrapText="1"/>
    </xf>
    <xf numFmtId="0" fontId="139" fillId="47" borderId="57" xfId="0" applyFont="1" applyFill="1" applyBorder="1" applyAlignment="1">
      <alignment horizontal="center" vertical="center" wrapText="1"/>
    </xf>
    <xf numFmtId="0" fontId="140" fillId="48" borderId="58" xfId="0" applyFont="1" applyFill="1" applyBorder="1" applyAlignment="1">
      <alignment horizontal="center" vertical="center" wrapText="1"/>
    </xf>
    <xf numFmtId="0" fontId="141" fillId="49" borderId="0" xfId="0" applyFont="1" applyFill="1" applyAlignment="1">
      <alignment horizontal="center" vertical="center" wrapText="1"/>
    </xf>
    <xf numFmtId="10" fontId="142" fillId="50" borderId="57" xfId="0" applyNumberFormat="1" applyFont="1" applyFill="1" applyBorder="1" applyAlignment="1">
      <alignment horizontal="center" vertical="center" wrapText="1"/>
    </xf>
    <xf numFmtId="10" fontId="142" fillId="38" borderId="57" xfId="0" applyNumberFormat="1" applyFont="1" applyFill="1" applyBorder="1" applyAlignment="1">
      <alignment horizontal="center" vertical="center" wrapText="1"/>
    </xf>
    <xf numFmtId="0" fontId="108" fillId="49" borderId="0" xfId="0" applyFont="1" applyFill="1" applyAlignment="1">
      <alignment horizontal="center" vertical="center" wrapText="1"/>
    </xf>
    <xf numFmtId="0" fontId="108" fillId="38" borderId="0" xfId="0" applyFont="1" applyFill="1" applyAlignment="1">
      <alignment horizontal="center" vertical="center" wrapText="1"/>
    </xf>
    <xf numFmtId="0" fontId="108" fillId="50" borderId="0" xfId="0" applyFont="1" applyFill="1" applyAlignment="1">
      <alignment horizontal="center" vertical="center" wrapText="1"/>
    </xf>
    <xf numFmtId="0" fontId="108" fillId="51" borderId="57" xfId="0" applyFont="1" applyFill="1" applyBorder="1" applyAlignment="1">
      <alignment horizontal="center" vertical="center" wrapText="1"/>
    </xf>
    <xf numFmtId="0" fontId="108" fillId="38" borderId="57" xfId="0" applyFont="1" applyFill="1" applyBorder="1" applyAlignment="1">
      <alignment horizontal="center" vertical="center" wrapText="1"/>
    </xf>
    <xf numFmtId="0" fontId="141" fillId="52" borderId="0" xfId="0" applyFont="1" applyFill="1" applyAlignment="1">
      <alignment horizontal="center" vertical="center" wrapText="1"/>
    </xf>
    <xf numFmtId="0" fontId="139" fillId="47" borderId="59" xfId="0" applyFont="1" applyFill="1" applyBorder="1" applyAlignment="1">
      <alignment horizontal="center" vertical="center" wrapText="1"/>
    </xf>
    <xf numFmtId="0" fontId="141" fillId="53" borderId="58" xfId="0" applyFont="1" applyFill="1" applyBorder="1" applyAlignment="1">
      <alignment horizontal="center" vertical="center" wrapText="1"/>
    </xf>
    <xf numFmtId="10" fontId="142" fillId="52" borderId="0" xfId="0" applyNumberFormat="1" applyFont="1" applyFill="1" applyAlignment="1">
      <alignment horizontal="center" vertical="center" wrapText="1"/>
    </xf>
    <xf numFmtId="10" fontId="140" fillId="52" borderId="0" xfId="0" applyNumberFormat="1" applyFont="1" applyFill="1" applyAlignment="1">
      <alignment horizontal="center" vertical="center" wrapText="1"/>
    </xf>
    <xf numFmtId="10" fontId="142" fillId="38" borderId="0" xfId="0" applyNumberFormat="1" applyFont="1" applyFill="1" applyAlignment="1">
      <alignment horizontal="center" vertical="center" wrapText="1"/>
    </xf>
    <xf numFmtId="10" fontId="108" fillId="51" borderId="0" xfId="0" applyNumberFormat="1" applyFont="1" applyFill="1" applyAlignment="1">
      <alignment horizontal="center" vertical="center" wrapText="1"/>
    </xf>
    <xf numFmtId="0" fontId="141" fillId="51" borderId="0" xfId="0" applyFont="1" applyFill="1" applyAlignment="1">
      <alignment horizontal="center" vertical="center" wrapText="1"/>
    </xf>
    <xf numFmtId="10" fontId="108" fillId="38" borderId="0" xfId="0" applyNumberFormat="1" applyFont="1" applyFill="1" applyAlignment="1">
      <alignment horizontal="center" vertical="center" wrapText="1"/>
    </xf>
    <xf numFmtId="10" fontId="108" fillId="50" borderId="0" xfId="0" applyNumberFormat="1" applyFont="1" applyFill="1" applyAlignment="1">
      <alignment horizontal="center" vertical="center" wrapText="1"/>
    </xf>
    <xf numFmtId="0" fontId="141" fillId="50" borderId="0" xfId="0" applyFont="1" applyFill="1" applyAlignment="1">
      <alignment horizontal="center" vertical="center" wrapText="1"/>
    </xf>
    <xf numFmtId="0" fontId="140" fillId="48" borderId="59" xfId="0" applyFont="1" applyFill="1" applyBorder="1" applyAlignment="1">
      <alignment horizontal="center" vertical="center" wrapText="1"/>
    </xf>
    <xf numFmtId="10" fontId="108" fillId="50" borderId="57" xfId="0" applyNumberFormat="1" applyFont="1" applyFill="1" applyBorder="1" applyAlignment="1">
      <alignment horizontal="center" vertical="center" wrapText="1"/>
    </xf>
    <xf numFmtId="0" fontId="141" fillId="50" borderId="57" xfId="0" applyFont="1" applyFill="1" applyBorder="1" applyAlignment="1">
      <alignment horizontal="center" vertical="center" wrapText="1"/>
    </xf>
    <xf numFmtId="10" fontId="108" fillId="38" borderId="57" xfId="0" applyNumberFormat="1" applyFont="1" applyFill="1" applyBorder="1" applyAlignment="1">
      <alignment horizontal="center" vertical="center" wrapText="1"/>
    </xf>
    <xf numFmtId="0" fontId="140" fillId="53" borderId="60" xfId="0" applyFont="1" applyFill="1" applyBorder="1" applyAlignment="1">
      <alignment horizontal="center" vertical="center" wrapText="1"/>
    </xf>
    <xf numFmtId="0" fontId="108" fillId="51" borderId="0" xfId="0" applyFont="1" applyFill="1" applyAlignment="1">
      <alignment horizontal="center" vertical="center" wrapText="1"/>
    </xf>
    <xf numFmtId="10" fontId="118" fillId="19" borderId="0" xfId="57" applyNumberFormat="1" applyFont="1" applyFill="1" applyAlignment="1" applyProtection="1">
      <alignment horizontal="center"/>
      <protection locked="0"/>
    </xf>
    <xf numFmtId="10" fontId="118" fillId="19" borderId="0" xfId="0" applyNumberFormat="1" applyFont="1" applyFill="1" applyAlignment="1" applyProtection="1">
      <alignment horizontal="center"/>
      <protection locked="0"/>
    </xf>
    <xf numFmtId="10" fontId="0" fillId="0" borderId="0" xfId="0" applyNumberFormat="1" applyAlignment="1">
      <alignment/>
    </xf>
    <xf numFmtId="0" fontId="142" fillId="7" borderId="55" xfId="0" applyFont="1" applyFill="1" applyBorder="1" applyAlignment="1">
      <alignment horizontal="center"/>
    </xf>
    <xf numFmtId="14" fontId="142" fillId="7" borderId="52" xfId="0" applyNumberFormat="1" applyFont="1" applyFill="1" applyBorder="1" applyAlignment="1">
      <alignment horizontal="center"/>
    </xf>
    <xf numFmtId="0" fontId="142" fillId="7" borderId="54" xfId="0" applyFont="1" applyFill="1" applyBorder="1" applyAlignment="1">
      <alignment vertical="center"/>
    </xf>
    <xf numFmtId="0" fontId="143" fillId="11" borderId="0" xfId="0" applyFont="1" applyFill="1" applyAlignment="1">
      <alignment vertical="center"/>
    </xf>
    <xf numFmtId="168" fontId="144" fillId="5" borderId="0" xfId="49" applyNumberFormat="1" applyFont="1" applyFill="1" applyAlignment="1" applyProtection="1">
      <alignment vertical="center"/>
      <protection hidden="1" locked="0"/>
    </xf>
    <xf numFmtId="168" fontId="145" fillId="11" borderId="0" xfId="49" applyNumberFormat="1" applyFont="1" applyFill="1" applyAlignment="1" applyProtection="1">
      <alignment vertical="center"/>
      <protection hidden="1" locked="0"/>
    </xf>
    <xf numFmtId="0" fontId="145" fillId="11" borderId="0" xfId="0" applyFont="1" applyFill="1" applyAlignment="1" applyProtection="1">
      <alignment vertical="center"/>
      <protection hidden="1" locked="0"/>
    </xf>
    <xf numFmtId="0" fontId="146" fillId="11" borderId="0" xfId="0" applyFont="1" applyFill="1" applyAlignment="1" applyProtection="1">
      <alignment/>
      <protection hidden="1" locked="0"/>
    </xf>
    <xf numFmtId="168" fontId="146" fillId="11" borderId="0" xfId="49" applyNumberFormat="1" applyFont="1" applyFill="1" applyAlignment="1" applyProtection="1">
      <alignment vertical="center"/>
      <protection hidden="1" locked="0"/>
    </xf>
    <xf numFmtId="43" fontId="146" fillId="11" borderId="0" xfId="49" applyNumberFormat="1" applyFont="1" applyFill="1" applyAlignment="1">
      <alignment vertical="center"/>
    </xf>
    <xf numFmtId="174" fontId="145" fillId="11" borderId="0" xfId="49" applyNumberFormat="1" applyFont="1" applyFill="1" applyAlignment="1">
      <alignment vertical="center"/>
    </xf>
    <xf numFmtId="43" fontId="145" fillId="11" borderId="0" xfId="49" applyNumberFormat="1" applyFont="1" applyFill="1" applyAlignment="1">
      <alignment vertical="center"/>
    </xf>
    <xf numFmtId="8" fontId="145" fillId="11" borderId="0" xfId="49" applyNumberFormat="1" applyFont="1" applyFill="1" applyAlignment="1">
      <alignment vertical="center"/>
    </xf>
    <xf numFmtId="0" fontId="144" fillId="0" borderId="0" xfId="0" applyFont="1" applyFill="1" applyBorder="1" applyAlignment="1" applyProtection="1">
      <alignment horizontal="left" vertical="center"/>
      <protection hidden="1"/>
    </xf>
    <xf numFmtId="165" fontId="145" fillId="11" borderId="0" xfId="49" applyNumberFormat="1" applyFont="1" applyFill="1" applyAlignment="1">
      <alignment vertical="center"/>
    </xf>
    <xf numFmtId="43" fontId="146" fillId="39" borderId="0" xfId="49" applyNumberFormat="1" applyFont="1" applyFill="1" applyAlignment="1">
      <alignment vertical="center"/>
    </xf>
    <xf numFmtId="43" fontId="145" fillId="39" borderId="0" xfId="49" applyNumberFormat="1" applyFont="1" applyFill="1" applyAlignment="1">
      <alignment vertical="center"/>
    </xf>
    <xf numFmtId="43" fontId="145" fillId="39" borderId="0" xfId="49" applyNumberFormat="1" applyFont="1" applyFill="1" applyAlignment="1">
      <alignment horizontal="center" vertical="center"/>
    </xf>
    <xf numFmtId="43" fontId="146" fillId="39" borderId="0" xfId="0" applyNumberFormat="1" applyFont="1" applyFill="1" applyAlignment="1" applyProtection="1">
      <alignment/>
      <protection hidden="1"/>
    </xf>
    <xf numFmtId="9" fontId="145" fillId="11" borderId="0" xfId="57" applyFont="1" applyFill="1" applyAlignment="1">
      <alignment vertical="center"/>
    </xf>
    <xf numFmtId="181" fontId="145" fillId="11" borderId="0" xfId="0" applyNumberFormat="1" applyFont="1" applyFill="1" applyAlignment="1" applyProtection="1">
      <alignment vertical="center"/>
      <protection hidden="1" locked="0"/>
    </xf>
    <xf numFmtId="10" fontId="145" fillId="11" borderId="0" xfId="57" applyNumberFormat="1" applyFont="1" applyFill="1" applyAlignment="1" applyProtection="1">
      <alignment vertical="center"/>
      <protection hidden="1" locked="0"/>
    </xf>
    <xf numFmtId="9" fontId="145" fillId="11" borderId="0" xfId="57" applyFont="1" applyFill="1" applyAlignment="1" applyProtection="1">
      <alignment vertical="center"/>
      <protection hidden="1" locked="0"/>
    </xf>
    <xf numFmtId="167" fontId="145" fillId="11" borderId="0" xfId="49" applyFont="1" applyFill="1" applyAlignment="1" quotePrefix="1">
      <alignment vertical="center"/>
    </xf>
    <xf numFmtId="0" fontId="144" fillId="11" borderId="0" xfId="0" applyFont="1" applyFill="1" applyAlignment="1" applyProtection="1">
      <alignment vertical="center"/>
      <protection hidden="1" locked="0"/>
    </xf>
    <xf numFmtId="0" fontId="146" fillId="11" borderId="0" xfId="0" applyFont="1" applyFill="1" applyAlignment="1" applyProtection="1">
      <alignment vertical="center"/>
      <protection hidden="1" locked="0"/>
    </xf>
    <xf numFmtId="0" fontId="147" fillId="11" borderId="0" xfId="0" applyFont="1" applyFill="1" applyAlignment="1">
      <alignment vertical="center"/>
    </xf>
    <xf numFmtId="0" fontId="146" fillId="11" borderId="0" xfId="0" applyFont="1" applyFill="1" applyAlignment="1">
      <alignment vertical="center"/>
    </xf>
    <xf numFmtId="176" fontId="146" fillId="11" borderId="0" xfId="0" applyNumberFormat="1" applyFont="1" applyFill="1" applyBorder="1" applyAlignment="1">
      <alignment horizontal="right" vertical="center"/>
    </xf>
    <xf numFmtId="9" fontId="146" fillId="11" borderId="0" xfId="0" applyNumberFormat="1" applyFont="1" applyFill="1" applyAlignment="1">
      <alignment vertical="center"/>
    </xf>
    <xf numFmtId="0" fontId="146" fillId="11" borderId="0" xfId="0" applyFont="1" applyFill="1" applyAlignment="1">
      <alignment horizontal="right" vertical="center"/>
    </xf>
    <xf numFmtId="0" fontId="146" fillId="11" borderId="0" xfId="0" applyFont="1" applyFill="1" applyAlignment="1">
      <alignment horizontal="center" vertical="center"/>
    </xf>
    <xf numFmtId="3" fontId="146" fillId="11" borderId="0" xfId="0" applyNumberFormat="1" applyFont="1" applyFill="1" applyAlignment="1">
      <alignment horizontal="right" vertical="center"/>
    </xf>
    <xf numFmtId="3" fontId="146" fillId="11" borderId="0" xfId="0" applyNumberFormat="1" applyFont="1" applyFill="1" applyAlignment="1">
      <alignment vertical="center"/>
    </xf>
    <xf numFmtId="9" fontId="148" fillId="11" borderId="0" xfId="57" applyFont="1" applyFill="1" applyAlignment="1">
      <alignment vertical="center"/>
    </xf>
    <xf numFmtId="4" fontId="146" fillId="11" borderId="0" xfId="0" applyNumberFormat="1" applyFont="1" applyFill="1" applyAlignment="1">
      <alignment vertical="center"/>
    </xf>
    <xf numFmtId="171" fontId="146" fillId="11" borderId="0" xfId="0" applyNumberFormat="1" applyFont="1" applyFill="1" applyAlignment="1">
      <alignment vertical="center"/>
    </xf>
    <xf numFmtId="3" fontId="147" fillId="11" borderId="54" xfId="0" applyNumberFormat="1" applyFont="1" applyFill="1" applyBorder="1" applyAlignment="1">
      <alignment vertical="center"/>
    </xf>
    <xf numFmtId="10" fontId="146" fillId="11" borderId="0" xfId="0" applyNumberFormat="1" applyFont="1" applyFill="1" applyAlignment="1">
      <alignment vertical="center"/>
    </xf>
    <xf numFmtId="10" fontId="146" fillId="2" borderId="0" xfId="0" applyNumberFormat="1" applyFont="1" applyFill="1" applyAlignment="1">
      <alignment vertical="center"/>
    </xf>
    <xf numFmtId="6" fontId="147" fillId="11" borderId="54" xfId="0" applyNumberFormat="1" applyFont="1" applyFill="1" applyBorder="1" applyAlignment="1">
      <alignment vertical="center"/>
    </xf>
    <xf numFmtId="180" fontId="144" fillId="11" borderId="54" xfId="49" applyNumberFormat="1" applyFont="1" applyFill="1" applyBorder="1" applyAlignment="1">
      <alignment vertical="center"/>
    </xf>
    <xf numFmtId="9" fontId="143" fillId="11" borderId="0" xfId="57" applyFont="1" applyFill="1" applyAlignment="1">
      <alignment vertical="center"/>
    </xf>
    <xf numFmtId="0" fontId="144" fillId="11" borderId="0" xfId="0" applyFont="1" applyFill="1" applyAlignment="1">
      <alignment horizontal="right" vertical="center"/>
    </xf>
    <xf numFmtId="0" fontId="146" fillId="11" borderId="0" xfId="0" applyFont="1" applyFill="1" applyAlignment="1">
      <alignment horizontal="left" vertical="center"/>
    </xf>
    <xf numFmtId="168" fontId="134" fillId="37" borderId="0" xfId="49" applyNumberFormat="1" applyFont="1" applyFill="1" applyAlignment="1" applyProtection="1">
      <alignment/>
      <protection hidden="1"/>
    </xf>
    <xf numFmtId="168" fontId="134" fillId="37" borderId="0" xfId="49" applyNumberFormat="1" applyFont="1" applyFill="1" applyAlignment="1" applyProtection="1">
      <alignment horizontal="right"/>
      <protection hidden="1"/>
    </xf>
    <xf numFmtId="9" fontId="3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103" fillId="0" borderId="0" xfId="46" applyAlignment="1">
      <alignment/>
    </xf>
    <xf numFmtId="0" fontId="149" fillId="45" borderId="61" xfId="0" applyFont="1" applyFill="1" applyBorder="1" applyAlignment="1">
      <alignment horizontal="center" vertical="center" wrapText="1"/>
    </xf>
    <xf numFmtId="0" fontId="149" fillId="45" borderId="62" xfId="0" applyFont="1" applyFill="1" applyBorder="1" applyAlignment="1">
      <alignment horizontal="center" vertical="center" wrapText="1"/>
    </xf>
    <xf numFmtId="0" fontId="149" fillId="45" borderId="63" xfId="0" applyFont="1" applyFill="1" applyBorder="1" applyAlignment="1">
      <alignment horizontal="center" vertical="center" wrapText="1"/>
    </xf>
    <xf numFmtId="0" fontId="150" fillId="0" borderId="61" xfId="0" applyFont="1" applyBorder="1" applyAlignment="1">
      <alignment horizontal="center" vertical="center" wrapText="1"/>
    </xf>
    <xf numFmtId="0" fontId="149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50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49" fillId="45" borderId="64" xfId="0" applyFont="1" applyFill="1" applyBorder="1" applyAlignment="1">
      <alignment horizontal="center" vertical="center" wrapText="1"/>
    </xf>
    <xf numFmtId="0" fontId="0" fillId="45" borderId="64" xfId="0" applyFill="1" applyBorder="1" applyAlignment="1">
      <alignment vertical="center" wrapText="1"/>
    </xf>
    <xf numFmtId="0" fontId="0" fillId="45" borderId="62" xfId="0" applyFill="1" applyBorder="1" applyAlignment="1">
      <alignment vertical="center" wrapText="1"/>
    </xf>
    <xf numFmtId="0" fontId="149" fillId="0" borderId="0" xfId="0" applyFont="1" applyAlignment="1">
      <alignment/>
    </xf>
    <xf numFmtId="0" fontId="149" fillId="54" borderId="61" xfId="0" applyFont="1" applyFill="1" applyBorder="1" applyAlignment="1">
      <alignment horizontal="center" vertical="center" wrapText="1"/>
    </xf>
    <xf numFmtId="0" fontId="149" fillId="54" borderId="64" xfId="0" applyFont="1" applyFill="1" applyBorder="1" applyAlignment="1">
      <alignment horizontal="center" vertical="center" wrapText="1"/>
    </xf>
    <xf numFmtId="0" fontId="0" fillId="54" borderId="64" xfId="0" applyFill="1" applyBorder="1" applyAlignment="1">
      <alignment vertical="top" wrapText="1"/>
    </xf>
    <xf numFmtId="0" fontId="0" fillId="54" borderId="62" xfId="0" applyFill="1" applyBorder="1" applyAlignment="1">
      <alignment vertical="top" wrapText="1"/>
    </xf>
    <xf numFmtId="0" fontId="149" fillId="0" borderId="62" xfId="0" applyFont="1" applyBorder="1" applyAlignment="1">
      <alignment horizontal="center" vertical="center" wrapText="1"/>
    </xf>
    <xf numFmtId="6" fontId="149" fillId="0" borderId="64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49" fillId="45" borderId="63" xfId="0" applyFont="1" applyFill="1" applyBorder="1" applyAlignment="1">
      <alignment vertical="center" wrapText="1"/>
    </xf>
    <xf numFmtId="0" fontId="149" fillId="45" borderId="61" xfId="0" applyFont="1" applyFill="1" applyBorder="1" applyAlignment="1">
      <alignment vertical="center" wrapText="1"/>
    </xf>
    <xf numFmtId="0" fontId="149" fillId="45" borderId="62" xfId="0" applyFont="1" applyFill="1" applyBorder="1" applyAlignment="1">
      <alignment vertical="center" wrapText="1"/>
    </xf>
    <xf numFmtId="0" fontId="149" fillId="0" borderId="63" xfId="0" applyFont="1" applyBorder="1" applyAlignment="1">
      <alignment horizontal="center" vertical="center" wrapText="1"/>
    </xf>
    <xf numFmtId="9" fontId="149" fillId="0" borderId="63" xfId="0" applyNumberFormat="1" applyFont="1" applyBorder="1" applyAlignment="1">
      <alignment horizontal="center" vertical="center" wrapText="1"/>
    </xf>
    <xf numFmtId="10" fontId="149" fillId="0" borderId="61" xfId="0" applyNumberFormat="1" applyFont="1" applyBorder="1" applyAlignment="1">
      <alignment horizontal="center" vertical="center" wrapText="1"/>
    </xf>
    <xf numFmtId="0" fontId="150" fillId="0" borderId="62" xfId="0" applyFont="1" applyBorder="1" applyAlignment="1">
      <alignment horizontal="center" vertical="center" wrapText="1"/>
    </xf>
    <xf numFmtId="0" fontId="151" fillId="45" borderId="61" xfId="0" applyFont="1" applyFill="1" applyBorder="1" applyAlignment="1">
      <alignment horizontal="center" vertical="center" wrapText="1"/>
    </xf>
    <xf numFmtId="0" fontId="151" fillId="45" borderId="64" xfId="0" applyFont="1" applyFill="1" applyBorder="1" applyAlignment="1">
      <alignment horizontal="center" vertical="center" wrapText="1"/>
    </xf>
    <xf numFmtId="0" fontId="3" fillId="45" borderId="64" xfId="0" applyFont="1" applyFill="1" applyBorder="1" applyAlignment="1">
      <alignment vertical="center" wrapText="1"/>
    </xf>
    <xf numFmtId="0" fontId="3" fillId="45" borderId="64" xfId="0" applyFont="1" applyFill="1" applyBorder="1" applyAlignment="1">
      <alignment vertical="top" wrapText="1"/>
    </xf>
    <xf numFmtId="0" fontId="3" fillId="45" borderId="62" xfId="0" applyFont="1" applyFill="1" applyBorder="1" applyAlignment="1">
      <alignment vertical="center" wrapText="1"/>
    </xf>
    <xf numFmtId="0" fontId="151" fillId="45" borderId="62" xfId="0" applyFont="1" applyFill="1" applyBorder="1" applyAlignment="1">
      <alignment horizontal="center" vertical="center" wrapText="1"/>
    </xf>
    <xf numFmtId="0" fontId="3" fillId="45" borderId="62" xfId="0" applyFont="1" applyFill="1" applyBorder="1" applyAlignment="1">
      <alignment vertical="top" wrapText="1"/>
    </xf>
    <xf numFmtId="0" fontId="150" fillId="0" borderId="0" xfId="0" applyFont="1" applyAlignment="1">
      <alignment horizontal="left" vertical="center" indent="1"/>
    </xf>
    <xf numFmtId="0" fontId="150" fillId="0" borderId="0" xfId="0" applyFont="1" applyAlignment="1">
      <alignment horizontal="left" vertical="center" indent="2"/>
    </xf>
    <xf numFmtId="0" fontId="152" fillId="0" borderId="0" xfId="0" applyFont="1" applyAlignment="1">
      <alignment horizontal="left" vertical="center" indent="1"/>
    </xf>
    <xf numFmtId="0" fontId="153" fillId="0" borderId="0" xfId="0" applyFont="1" applyAlignment="1">
      <alignment horizontal="left" vertical="center" indent="8"/>
    </xf>
    <xf numFmtId="0" fontId="36" fillId="0" borderId="0" xfId="0" applyFont="1" applyAlignment="1">
      <alignment horizontal="justify" vertical="center"/>
    </xf>
    <xf numFmtId="2" fontId="2" fillId="37" borderId="0" xfId="0" applyNumberFormat="1" applyFont="1" applyFill="1" applyBorder="1" applyAlignment="1" applyProtection="1">
      <alignment/>
      <protection hidden="1" locked="0"/>
    </xf>
    <xf numFmtId="10" fontId="2" fillId="37" borderId="23" xfId="0" applyNumberFormat="1" applyFont="1" applyFill="1" applyBorder="1" applyAlignment="1" applyProtection="1">
      <alignment/>
      <protection hidden="1" locked="0"/>
    </xf>
    <xf numFmtId="10" fontId="2" fillId="41" borderId="15" xfId="0" applyNumberFormat="1" applyFont="1" applyFill="1" applyBorder="1" applyAlignment="1" applyProtection="1">
      <alignment/>
      <protection hidden="1" locked="0"/>
    </xf>
    <xf numFmtId="2" fontId="2" fillId="41" borderId="10" xfId="0" applyNumberFormat="1" applyFont="1" applyFill="1" applyBorder="1" applyAlignment="1" applyProtection="1">
      <alignment/>
      <protection hidden="1"/>
    </xf>
    <xf numFmtId="168" fontId="12" fillId="0" borderId="23" xfId="49" applyNumberFormat="1" applyFont="1" applyBorder="1" applyAlignment="1" applyProtection="1">
      <alignment/>
      <protection hidden="1"/>
    </xf>
    <xf numFmtId="169" fontId="12" fillId="0" borderId="0" xfId="57" applyNumberFormat="1" applyFont="1" applyFill="1" applyBorder="1" applyAlignment="1" applyProtection="1">
      <alignment/>
      <protection hidden="1"/>
    </xf>
    <xf numFmtId="10" fontId="12" fillId="0" borderId="0" xfId="57" applyNumberFormat="1" applyFont="1" applyBorder="1" applyAlignment="1" applyProtection="1">
      <alignment/>
      <protection hidden="1"/>
    </xf>
    <xf numFmtId="169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 quotePrefix="1">
      <alignment horizontal="left"/>
      <protection hidden="1"/>
    </xf>
    <xf numFmtId="0" fontId="12" fillId="0" borderId="56" xfId="0" applyFont="1" applyFill="1" applyBorder="1" applyAlignment="1" applyProtection="1">
      <alignment horizontal="center" wrapText="1"/>
      <protection hidden="1"/>
    </xf>
    <xf numFmtId="10" fontId="12" fillId="0" borderId="0" xfId="57" applyNumberFormat="1" applyFont="1" applyFill="1" applyAlignment="1" applyProtection="1">
      <alignment/>
      <protection hidden="1"/>
    </xf>
    <xf numFmtId="0" fontId="154" fillId="0" borderId="18" xfId="49" applyNumberFormat="1" applyFont="1" applyFill="1" applyBorder="1" applyAlignment="1" applyProtection="1" quotePrefix="1">
      <alignment horizontal="right"/>
      <protection hidden="1"/>
    </xf>
    <xf numFmtId="0" fontId="18" fillId="0" borderId="45" xfId="55" applyFont="1" applyBorder="1" applyAlignment="1" applyProtection="1">
      <alignment vertical="center" wrapText="1"/>
      <protection hidden="1"/>
    </xf>
    <xf numFmtId="0" fontId="0" fillId="0" borderId="0" xfId="55" applyProtection="1">
      <alignment/>
      <protection hidden="1"/>
    </xf>
    <xf numFmtId="0" fontId="19" fillId="0" borderId="65" xfId="55" applyFont="1" applyBorder="1" applyAlignment="1" applyProtection="1">
      <alignment vertical="center" wrapText="1"/>
      <protection hidden="1"/>
    </xf>
    <xf numFmtId="195" fontId="120" fillId="2" borderId="0" xfId="0" applyNumberFormat="1" applyFont="1" applyFill="1" applyAlignment="1" applyProtection="1">
      <alignment/>
      <protection hidden="1" locked="0"/>
    </xf>
    <xf numFmtId="196" fontId="2" fillId="2" borderId="0" xfId="49" applyNumberFormat="1" applyFont="1" applyFill="1" applyAlignment="1" applyProtection="1">
      <alignment/>
      <protection hidden="1" locked="0"/>
    </xf>
    <xf numFmtId="0" fontId="2" fillId="16" borderId="54" xfId="0" applyFont="1" applyFill="1" applyBorder="1" applyAlignment="1" applyProtection="1">
      <alignment/>
      <protection hidden="1" locked="0"/>
    </xf>
    <xf numFmtId="0" fontId="2" fillId="15" borderId="0" xfId="0" applyFont="1" applyFill="1" applyAlignment="1" applyProtection="1">
      <alignment horizontal="left"/>
      <protection hidden="1"/>
    </xf>
    <xf numFmtId="174" fontId="2" fillId="38" borderId="0" xfId="0" applyNumberFormat="1" applyFont="1" applyFill="1" applyAlignment="1" applyProtection="1">
      <alignment/>
      <protection hidden="1" locked="0"/>
    </xf>
    <xf numFmtId="4" fontId="3" fillId="33" borderId="0" xfId="0" applyNumberFormat="1" applyFont="1" applyFill="1" applyAlignment="1" applyProtection="1">
      <alignment/>
      <protection hidden="1" locked="0"/>
    </xf>
    <xf numFmtId="8" fontId="3" fillId="38" borderId="0" xfId="0" applyNumberFormat="1" applyFont="1" applyFill="1" applyAlignment="1" applyProtection="1">
      <alignment/>
      <protection hidden="1" locked="0"/>
    </xf>
    <xf numFmtId="0" fontId="19" fillId="0" borderId="45" xfId="55" applyFont="1" applyBorder="1" applyAlignment="1" applyProtection="1">
      <alignment vertical="center" wrapText="1"/>
      <protection hidden="1"/>
    </xf>
    <xf numFmtId="0" fontId="19" fillId="0" borderId="66" xfId="55" applyFont="1" applyBorder="1" applyAlignment="1" applyProtection="1">
      <alignment vertical="center" wrapText="1"/>
      <protection hidden="1"/>
    </xf>
    <xf numFmtId="0" fontId="19" fillId="0" borderId="67" xfId="55" applyFont="1" applyBorder="1" applyAlignment="1" applyProtection="1">
      <alignment vertical="center" wrapText="1"/>
      <protection hidden="1"/>
    </xf>
    <xf numFmtId="0" fontId="0" fillId="0" borderId="68" xfId="55" applyBorder="1" applyProtection="1">
      <alignment/>
      <protection hidden="1"/>
    </xf>
    <xf numFmtId="0" fontId="0" fillId="0" borderId="69" xfId="55" applyBorder="1" applyAlignment="1" applyProtection="1">
      <alignment vertical="center" wrapText="1"/>
      <protection hidden="1"/>
    </xf>
    <xf numFmtId="0" fontId="0" fillId="0" borderId="64" xfId="55" applyBorder="1" applyAlignment="1" applyProtection="1">
      <alignment vertical="center" wrapText="1"/>
      <protection hidden="1"/>
    </xf>
    <xf numFmtId="0" fontId="155" fillId="0" borderId="26" xfId="55" applyFont="1" applyBorder="1" applyAlignment="1" applyProtection="1">
      <alignment vertical="center" wrapText="1"/>
      <protection hidden="1"/>
    </xf>
    <xf numFmtId="0" fontId="0" fillId="0" borderId="70" xfId="55" applyBorder="1" applyProtection="1">
      <alignment/>
      <protection hidden="1"/>
    </xf>
    <xf numFmtId="0" fontId="19" fillId="0" borderId="69" xfId="55" applyFont="1" applyBorder="1" applyAlignment="1" applyProtection="1">
      <alignment vertical="center" wrapText="1"/>
      <protection hidden="1"/>
    </xf>
    <xf numFmtId="0" fontId="19" fillId="0" borderId="64" xfId="0" applyFont="1" applyBorder="1" applyAlignment="1" applyProtection="1">
      <alignment vertical="center" wrapText="1"/>
      <protection hidden="1"/>
    </xf>
    <xf numFmtId="0" fontId="155" fillId="0" borderId="26" xfId="55" applyFont="1" applyBorder="1" applyAlignment="1" applyProtection="1">
      <alignment vertical="top" wrapText="1"/>
      <protection hidden="1"/>
    </xf>
    <xf numFmtId="0" fontId="0" fillId="0" borderId="65" xfId="55" applyBorder="1" applyAlignment="1" applyProtection="1">
      <alignment vertical="top" wrapText="1"/>
      <protection hidden="1"/>
    </xf>
    <xf numFmtId="0" fontId="0" fillId="0" borderId="71" xfId="55" applyBorder="1" applyAlignment="1" applyProtection="1">
      <alignment vertical="top" wrapText="1"/>
      <protection hidden="1"/>
    </xf>
    <xf numFmtId="2" fontId="3" fillId="37" borderId="0" xfId="0" applyNumberFormat="1" applyFont="1" applyFill="1" applyBorder="1" applyAlignment="1" applyProtection="1">
      <alignment/>
      <protection hidden="1"/>
    </xf>
    <xf numFmtId="168" fontId="3" fillId="37" borderId="0" xfId="49" applyNumberFormat="1" applyFont="1" applyFill="1" applyAlignment="1" applyProtection="1">
      <alignment horizontal="right"/>
      <protection hidden="1"/>
    </xf>
    <xf numFmtId="0" fontId="2" fillId="37" borderId="23" xfId="0" applyFont="1" applyFill="1" applyBorder="1" applyAlignment="1" applyProtection="1">
      <alignment/>
      <protection hidden="1" locked="0"/>
    </xf>
    <xf numFmtId="10" fontId="2" fillId="37" borderId="0" xfId="57" applyNumberFormat="1" applyFont="1" applyFill="1" applyBorder="1" applyAlignment="1" applyProtection="1">
      <alignment/>
      <protection hidden="1" locked="0"/>
    </xf>
    <xf numFmtId="10" fontId="2" fillId="37" borderId="14" xfId="0" applyNumberFormat="1" applyFont="1" applyFill="1" applyBorder="1" applyAlignment="1" applyProtection="1">
      <alignment/>
      <protection hidden="1" locked="0"/>
    </xf>
    <xf numFmtId="0" fontId="2" fillId="34" borderId="72" xfId="0" applyFont="1" applyFill="1" applyBorder="1" applyAlignment="1" applyProtection="1">
      <alignment horizontal="center"/>
      <protection hidden="1" locked="0"/>
    </xf>
    <xf numFmtId="9" fontId="156" fillId="34" borderId="73" xfId="0" applyNumberFormat="1" applyFont="1" applyFill="1" applyBorder="1" applyAlignment="1" applyProtection="1">
      <alignment/>
      <protection hidden="1" locked="0"/>
    </xf>
    <xf numFmtId="9" fontId="157" fillId="34" borderId="73" xfId="0" applyNumberFormat="1" applyFont="1" applyFill="1" applyBorder="1" applyAlignment="1" applyProtection="1">
      <alignment/>
      <protection hidden="1" locked="0"/>
    </xf>
    <xf numFmtId="9" fontId="134" fillId="34" borderId="73" xfId="0" applyNumberFormat="1" applyFont="1" applyFill="1" applyBorder="1" applyAlignment="1" applyProtection="1">
      <alignment/>
      <protection hidden="1" locked="0"/>
    </xf>
    <xf numFmtId="9" fontId="2" fillId="34" borderId="74" xfId="0" applyNumberFormat="1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112" fillId="0" borderId="0" xfId="0" applyFont="1" applyFill="1" applyBorder="1" applyAlignment="1">
      <alignment horizontal="center"/>
    </xf>
    <xf numFmtId="0" fontId="112" fillId="0" borderId="0" xfId="0" applyFont="1" applyFill="1" applyBorder="1" applyAlignment="1">
      <alignment vertical="center" wrapText="1"/>
    </xf>
    <xf numFmtId="14" fontId="112" fillId="0" borderId="0" xfId="0" applyNumberFormat="1" applyFont="1" applyFill="1" applyBorder="1" applyAlignment="1">
      <alignment horizontal="center"/>
    </xf>
    <xf numFmtId="0" fontId="3" fillId="0" borderId="26" xfId="0" applyFont="1" applyFill="1" applyBorder="1" applyAlignment="1" applyProtection="1" quotePrefix="1">
      <alignment horizontal="left" vertical="center" wrapText="1"/>
      <protection hidden="1"/>
    </xf>
    <xf numFmtId="0" fontId="3" fillId="0" borderId="0" xfId="0" applyFont="1" applyFill="1" applyBorder="1" applyAlignment="1" applyProtection="1" quotePrefix="1">
      <alignment horizontal="left" vertical="center" wrapText="1"/>
      <protection hidden="1"/>
    </xf>
    <xf numFmtId="0" fontId="146" fillId="55" borderId="0" xfId="0" applyFont="1" applyFill="1" applyAlignment="1">
      <alignment horizontal="center" vertical="center"/>
    </xf>
    <xf numFmtId="0" fontId="147" fillId="55" borderId="0" xfId="0" applyFont="1" applyFill="1" applyAlignment="1">
      <alignment horizontal="center" vertical="center"/>
    </xf>
    <xf numFmtId="0" fontId="3" fillId="14" borderId="39" xfId="0" applyFont="1" applyFill="1" applyBorder="1" applyAlignment="1" applyProtection="1">
      <alignment horizontal="center"/>
      <protection hidden="1"/>
    </xf>
    <xf numFmtId="0" fontId="3" fillId="14" borderId="40" xfId="0" applyFont="1" applyFill="1" applyBorder="1" applyAlignment="1" applyProtection="1">
      <alignment horizontal="center"/>
      <protection hidden="1"/>
    </xf>
    <xf numFmtId="0" fontId="3" fillId="14" borderId="41" xfId="0" applyFont="1" applyFill="1" applyBorder="1" applyAlignment="1" applyProtection="1">
      <alignment horizontal="center"/>
      <protection hidden="1"/>
    </xf>
    <xf numFmtId="0" fontId="3" fillId="15" borderId="39" xfId="0" applyFont="1" applyFill="1" applyBorder="1" applyAlignment="1" applyProtection="1">
      <alignment horizontal="center"/>
      <protection hidden="1"/>
    </xf>
    <xf numFmtId="0" fontId="3" fillId="15" borderId="40" xfId="0" applyFont="1" applyFill="1" applyBorder="1" applyAlignment="1" applyProtection="1">
      <alignment horizontal="center"/>
      <protection hidden="1"/>
    </xf>
    <xf numFmtId="0" fontId="3" fillId="15" borderId="4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/>
    </xf>
    <xf numFmtId="0" fontId="117" fillId="0" borderId="23" xfId="0" applyFont="1" applyBorder="1" applyAlignment="1" applyProtection="1">
      <alignment horizontal="center"/>
      <protection hidden="1"/>
    </xf>
    <xf numFmtId="0" fontId="117" fillId="0" borderId="0" xfId="0" applyFont="1" applyBorder="1" applyAlignment="1" applyProtection="1">
      <alignment horizontal="center"/>
      <protection hidden="1"/>
    </xf>
    <xf numFmtId="0" fontId="114" fillId="0" borderId="23" xfId="0" applyFont="1" applyBorder="1" applyAlignment="1" applyProtection="1">
      <alignment horizontal="center"/>
      <protection hidden="1"/>
    </xf>
    <xf numFmtId="0" fontId="114" fillId="0" borderId="0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 locked="0"/>
    </xf>
    <xf numFmtId="0" fontId="125" fillId="9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hidden="1"/>
    </xf>
    <xf numFmtId="173" fontId="2" fillId="0" borderId="0" xfId="49" applyNumberFormat="1" applyFont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18" fillId="0" borderId="65" xfId="0" applyFont="1" applyBorder="1" applyAlignment="1" applyProtection="1">
      <alignment vertical="center" wrapText="1"/>
      <protection hidden="1"/>
    </xf>
    <xf numFmtId="0" fontId="18" fillId="0" borderId="75" xfId="0" applyFont="1" applyBorder="1" applyAlignment="1" applyProtection="1">
      <alignment vertical="center" wrapText="1"/>
      <protection hidden="1"/>
    </xf>
    <xf numFmtId="0" fontId="18" fillId="0" borderId="76" xfId="0" applyFont="1" applyBorder="1" applyAlignment="1" applyProtection="1">
      <alignment vertical="center" wrapText="1"/>
      <protection hidden="1"/>
    </xf>
    <xf numFmtId="0" fontId="18" fillId="0" borderId="77" xfId="0" applyFont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 wrapText="1"/>
      <protection hidden="1"/>
    </xf>
    <xf numFmtId="0" fontId="18" fillId="0" borderId="79" xfId="0" applyFont="1" applyBorder="1" applyAlignment="1" applyProtection="1">
      <alignment horizontal="center" vertical="center" wrapText="1"/>
      <protection hidden="1"/>
    </xf>
    <xf numFmtId="0" fontId="19" fillId="0" borderId="80" xfId="0" applyFont="1" applyBorder="1" applyAlignment="1" applyProtection="1">
      <alignment vertical="center" wrapText="1"/>
      <protection hidden="1"/>
    </xf>
    <xf numFmtId="0" fontId="19" fillId="0" borderId="78" xfId="0" applyFont="1" applyBorder="1" applyAlignment="1" applyProtection="1">
      <alignment vertical="center" wrapText="1"/>
      <protection hidden="1"/>
    </xf>
    <xf numFmtId="0" fontId="19" fillId="0" borderId="79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9" fillId="0" borderId="81" xfId="0" applyFont="1" applyBorder="1" applyAlignment="1" applyProtection="1">
      <alignment vertical="center"/>
      <protection hidden="1"/>
    </xf>
    <xf numFmtId="0" fontId="19" fillId="0" borderId="68" xfId="0" applyFont="1" applyBorder="1" applyAlignment="1" applyProtection="1">
      <alignment vertical="center"/>
      <protection hidden="1"/>
    </xf>
    <xf numFmtId="10" fontId="40" fillId="0" borderId="46" xfId="0" applyNumberFormat="1" applyFont="1" applyBorder="1" applyAlignment="1" applyProtection="1">
      <alignment horizontal="center" vertical="center" wrapText="1"/>
      <protection hidden="1"/>
    </xf>
    <xf numFmtId="10" fontId="40" fillId="0" borderId="48" xfId="0" applyNumberFormat="1" applyFont="1" applyBorder="1" applyAlignment="1" applyProtection="1">
      <alignment horizontal="center" vertical="center" wrapText="1"/>
      <protection hidden="1"/>
    </xf>
    <xf numFmtId="0" fontId="18" fillId="0" borderId="45" xfId="0" applyFont="1" applyBorder="1" applyAlignment="1" applyProtection="1">
      <alignment horizontal="left" vertical="center" wrapText="1" indent="1"/>
      <protection hidden="1"/>
    </xf>
    <xf numFmtId="0" fontId="18" fillId="0" borderId="68" xfId="0" applyFont="1" applyBorder="1" applyAlignment="1" applyProtection="1">
      <alignment horizontal="left" vertical="center" wrapText="1" indent="1"/>
      <protection hidden="1"/>
    </xf>
    <xf numFmtId="0" fontId="19" fillId="0" borderId="69" xfId="0" applyFont="1" applyBorder="1" applyAlignment="1" applyProtection="1">
      <alignment horizontal="left" vertical="center" wrapText="1" indent="1"/>
      <protection hidden="1"/>
    </xf>
    <xf numFmtId="0" fontId="19" fillId="0" borderId="0" xfId="0" applyFont="1" applyBorder="1" applyAlignment="1" applyProtection="1">
      <alignment horizontal="left" vertical="center" wrapText="1" indent="1"/>
      <protection hidden="1"/>
    </xf>
    <xf numFmtId="0" fontId="19" fillId="0" borderId="70" xfId="0" applyFont="1" applyBorder="1" applyAlignment="1" applyProtection="1">
      <alignment horizontal="left" vertical="center" wrapText="1" indent="1"/>
      <protection hidden="1"/>
    </xf>
    <xf numFmtId="0" fontId="18" fillId="0" borderId="45" xfId="0" applyFont="1" applyBorder="1" applyAlignment="1" applyProtection="1">
      <alignment vertical="center" wrapText="1"/>
      <protection hidden="1"/>
    </xf>
    <xf numFmtId="0" fontId="18" fillId="0" borderId="81" xfId="0" applyFont="1" applyBorder="1" applyAlignment="1" applyProtection="1">
      <alignment vertical="center" wrapText="1"/>
      <protection hidden="1"/>
    </xf>
    <xf numFmtId="0" fontId="18" fillId="0" borderId="68" xfId="0" applyFont="1" applyBorder="1" applyAlignment="1" applyProtection="1">
      <alignment vertical="center" wrapText="1"/>
      <protection hidden="1"/>
    </xf>
    <xf numFmtId="0" fontId="0" fillId="0" borderId="69" xfId="0" applyBorder="1" applyAlignment="1" applyProtection="1">
      <alignment horizontal="left" vertical="center" wrapText="1" indent="1"/>
      <protection hidden="1"/>
    </xf>
    <xf numFmtId="0" fontId="0" fillId="0" borderId="0" xfId="0" applyBorder="1" applyAlignment="1" applyProtection="1">
      <alignment horizontal="left" vertical="center" wrapText="1" indent="1"/>
      <protection hidden="1"/>
    </xf>
    <xf numFmtId="0" fontId="0" fillId="0" borderId="70" xfId="0" applyBorder="1" applyAlignment="1" applyProtection="1">
      <alignment horizontal="left" vertical="center" wrapText="1" indent="1"/>
      <protection hidden="1"/>
    </xf>
    <xf numFmtId="0" fontId="19" fillId="0" borderId="65" xfId="0" applyFont="1" applyBorder="1" applyAlignment="1" applyProtection="1">
      <alignment vertical="center" wrapText="1"/>
      <protection hidden="1"/>
    </xf>
    <xf numFmtId="0" fontId="19" fillId="0" borderId="75" xfId="0" applyFont="1" applyBorder="1" applyAlignment="1" applyProtection="1">
      <alignment vertical="center" wrapText="1"/>
      <protection hidden="1"/>
    </xf>
    <xf numFmtId="0" fontId="19" fillId="0" borderId="76" xfId="0" applyFont="1" applyBorder="1" applyAlignment="1" applyProtection="1">
      <alignment vertical="center" wrapText="1"/>
      <protection hidden="1"/>
    </xf>
    <xf numFmtId="0" fontId="19" fillId="0" borderId="69" xfId="0" applyFont="1" applyBorder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0" fontId="19" fillId="0" borderId="70" xfId="0" applyFont="1" applyBorder="1" applyAlignment="1" applyProtection="1">
      <alignment vertical="center" wrapText="1"/>
      <protection hidden="1"/>
    </xf>
    <xf numFmtId="0" fontId="41" fillId="0" borderId="45" xfId="0" applyFont="1" applyBorder="1" applyAlignment="1" applyProtection="1">
      <alignment vertical="center" wrapText="1"/>
      <protection hidden="1"/>
    </xf>
    <xf numFmtId="0" fontId="41" fillId="0" borderId="81" xfId="0" applyFont="1" applyBorder="1" applyAlignment="1" applyProtection="1">
      <alignment vertical="center" wrapText="1"/>
      <protection hidden="1"/>
    </xf>
    <xf numFmtId="0" fontId="41" fillId="0" borderId="68" xfId="0" applyFont="1" applyBorder="1" applyAlignment="1" applyProtection="1">
      <alignment vertical="center" wrapText="1"/>
      <protection hidden="1"/>
    </xf>
    <xf numFmtId="0" fontId="21" fillId="0" borderId="26" xfId="55" applyFont="1" applyBorder="1" applyAlignment="1" applyProtection="1">
      <alignment vertical="center" wrapText="1"/>
      <protection hidden="1"/>
    </xf>
    <xf numFmtId="0" fontId="21" fillId="0" borderId="70" xfId="55" applyFont="1" applyBorder="1" applyAlignment="1" applyProtection="1">
      <alignment vertical="center" wrapText="1"/>
      <protection hidden="1"/>
    </xf>
    <xf numFmtId="0" fontId="21" fillId="0" borderId="82" xfId="55" applyFont="1" applyBorder="1" applyAlignment="1" applyProtection="1">
      <alignment vertical="center" wrapText="1"/>
      <protection hidden="1"/>
    </xf>
    <xf numFmtId="0" fontId="21" fillId="0" borderId="76" xfId="55" applyFont="1" applyBorder="1" applyAlignment="1" applyProtection="1">
      <alignment vertical="center" wrapText="1"/>
      <protection hidden="1"/>
    </xf>
    <xf numFmtId="0" fontId="155" fillId="0" borderId="65" xfId="0" applyFont="1" applyBorder="1" applyAlignment="1" applyProtection="1">
      <alignment horizontal="left" vertical="center" wrapText="1" indent="1"/>
      <protection hidden="1"/>
    </xf>
    <xf numFmtId="0" fontId="155" fillId="0" borderId="75" xfId="0" applyFont="1" applyBorder="1" applyAlignment="1" applyProtection="1">
      <alignment horizontal="left" vertical="center" wrapText="1" indent="1"/>
      <protection hidden="1"/>
    </xf>
    <xf numFmtId="0" fontId="155" fillId="0" borderId="76" xfId="0" applyFont="1" applyBorder="1" applyAlignment="1" applyProtection="1">
      <alignment horizontal="left" vertical="center" wrapText="1" indent="1"/>
      <protection hidden="1"/>
    </xf>
    <xf numFmtId="0" fontId="18" fillId="0" borderId="65" xfId="0" applyFont="1" applyBorder="1" applyAlignment="1" applyProtection="1">
      <alignment horizontal="left" vertical="center" wrapText="1" indent="1"/>
      <protection hidden="1"/>
    </xf>
    <xf numFmtId="0" fontId="18" fillId="0" borderId="76" xfId="0" applyFont="1" applyBorder="1" applyAlignment="1" applyProtection="1">
      <alignment horizontal="left" vertical="center" wrapText="1" indent="1"/>
      <protection hidden="1"/>
    </xf>
    <xf numFmtId="0" fontId="155" fillId="0" borderId="65" xfId="55" applyFont="1" applyBorder="1" applyAlignment="1" applyProtection="1">
      <alignment vertical="center" wrapText="1"/>
      <protection hidden="1"/>
    </xf>
    <xf numFmtId="0" fontId="155" fillId="0" borderId="76" xfId="55" applyFont="1" applyBorder="1" applyAlignment="1" applyProtection="1">
      <alignment vertical="center" wrapText="1"/>
      <protection hidden="1"/>
    </xf>
    <xf numFmtId="0" fontId="19" fillId="0" borderId="65" xfId="0" applyFont="1" applyFill="1" applyBorder="1" applyAlignment="1" applyProtection="1">
      <alignment vertical="center" wrapText="1"/>
      <protection hidden="1"/>
    </xf>
    <xf numFmtId="0" fontId="19" fillId="0" borderId="75" xfId="0" applyFont="1" applyFill="1" applyBorder="1" applyAlignment="1" applyProtection="1">
      <alignment vertical="center" wrapText="1"/>
      <protection hidden="1"/>
    </xf>
    <xf numFmtId="0" fontId="19" fillId="0" borderId="76" xfId="0" applyFont="1" applyFill="1" applyBorder="1" applyAlignment="1" applyProtection="1">
      <alignment vertical="center" wrapText="1"/>
      <protection hidden="1"/>
    </xf>
    <xf numFmtId="0" fontId="158" fillId="37" borderId="83" xfId="0" applyFont="1" applyFill="1" applyBorder="1" applyAlignment="1">
      <alignment horizontal="center"/>
    </xf>
    <xf numFmtId="0" fontId="158" fillId="37" borderId="84" xfId="0" applyFont="1" applyFill="1" applyBorder="1" applyAlignment="1">
      <alignment horizontal="center"/>
    </xf>
    <xf numFmtId="0" fontId="158" fillId="37" borderId="85" xfId="0" applyFont="1" applyFill="1" applyBorder="1" applyAlignment="1">
      <alignment horizontal="center"/>
    </xf>
    <xf numFmtId="0" fontId="6" fillId="45" borderId="46" xfId="0" applyFont="1" applyFill="1" applyBorder="1" applyAlignment="1">
      <alignment horizontal="center" vertical="center" wrapText="1"/>
    </xf>
    <xf numFmtId="0" fontId="6" fillId="45" borderId="48" xfId="0" applyFont="1" applyFill="1" applyBorder="1" applyAlignment="1">
      <alignment horizontal="center" vertical="center" wrapText="1"/>
    </xf>
    <xf numFmtId="0" fontId="6" fillId="45" borderId="47" xfId="0" applyFont="1" applyFill="1" applyBorder="1" applyAlignment="1">
      <alignment horizontal="center" vertical="center" wrapText="1"/>
    </xf>
    <xf numFmtId="9" fontId="135" fillId="0" borderId="46" xfId="0" applyNumberFormat="1" applyFont="1" applyBorder="1" applyAlignment="1">
      <alignment horizontal="center" vertical="center" wrapText="1"/>
    </xf>
    <xf numFmtId="9" fontId="135" fillId="0" borderId="4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45" borderId="77" xfId="0" applyFont="1" applyFill="1" applyBorder="1" applyAlignment="1">
      <alignment horizontal="center" vertical="center" wrapText="1"/>
    </xf>
    <xf numFmtId="0" fontId="6" fillId="45" borderId="78" xfId="0" applyFont="1" applyFill="1" applyBorder="1" applyAlignment="1">
      <alignment horizontal="center" vertical="center" wrapText="1"/>
    </xf>
    <xf numFmtId="0" fontId="6" fillId="45" borderId="79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9" fontId="6" fillId="56" borderId="46" xfId="0" applyNumberFormat="1" applyFont="1" applyFill="1" applyBorder="1" applyAlignment="1">
      <alignment horizontal="center" vertical="center" wrapText="1"/>
    </xf>
    <xf numFmtId="9" fontId="6" fillId="56" borderId="47" xfId="0" applyNumberFormat="1" applyFont="1" applyFill="1" applyBorder="1" applyAlignment="1">
      <alignment horizontal="center" vertical="center" wrapText="1"/>
    </xf>
    <xf numFmtId="0" fontId="6" fillId="0" borderId="81" xfId="0" applyFont="1" applyBorder="1" applyAlignment="1">
      <alignment vertical="center" wrapText="1"/>
    </xf>
    <xf numFmtId="9" fontId="6" fillId="42" borderId="46" xfId="0" applyNumberFormat="1" applyFont="1" applyFill="1" applyBorder="1" applyAlignment="1">
      <alignment horizontal="center" vertical="center" wrapText="1"/>
    </xf>
    <xf numFmtId="9" fontId="6" fillId="42" borderId="47" xfId="0" applyNumberFormat="1" applyFont="1" applyFill="1" applyBorder="1" applyAlignment="1">
      <alignment horizontal="center" vertical="center" wrapText="1"/>
    </xf>
    <xf numFmtId="9" fontId="6" fillId="42" borderId="48" xfId="0" applyNumberFormat="1" applyFont="1" applyFill="1" applyBorder="1" applyAlignment="1">
      <alignment horizontal="center" vertical="center" wrapText="1"/>
    </xf>
    <xf numFmtId="0" fontId="149" fillId="45" borderId="83" xfId="0" applyFont="1" applyFill="1" applyBorder="1" applyAlignment="1">
      <alignment horizontal="center" vertical="center" wrapText="1"/>
    </xf>
    <xf numFmtId="0" fontId="149" fillId="45" borderId="85" xfId="0" applyFont="1" applyFill="1" applyBorder="1" applyAlignment="1">
      <alignment horizontal="center" vertical="center" wrapText="1"/>
    </xf>
    <xf numFmtId="0" fontId="149" fillId="45" borderId="61" xfId="0" applyFont="1" applyFill="1" applyBorder="1" applyAlignment="1">
      <alignment horizontal="center" vertical="center" wrapText="1"/>
    </xf>
    <xf numFmtId="0" fontId="149" fillId="45" borderId="64" xfId="0" applyFont="1" applyFill="1" applyBorder="1" applyAlignment="1">
      <alignment horizontal="center" vertical="center" wrapText="1"/>
    </xf>
    <xf numFmtId="0" fontId="149" fillId="45" borderId="62" xfId="0" applyFont="1" applyFill="1" applyBorder="1" applyAlignment="1">
      <alignment horizontal="center" vertical="center" wrapText="1"/>
    </xf>
    <xf numFmtId="0" fontId="139" fillId="47" borderId="57" xfId="0" applyFont="1" applyFill="1" applyBorder="1" applyAlignment="1">
      <alignment horizontal="center" vertical="center" wrapText="1"/>
    </xf>
    <xf numFmtId="9" fontId="135" fillId="42" borderId="46" xfId="0" applyNumberFormat="1" applyFont="1" applyFill="1" applyBorder="1" applyAlignment="1">
      <alignment horizontal="center" vertical="center" wrapText="1"/>
    </xf>
    <xf numFmtId="9" fontId="135" fillId="42" borderId="47" xfId="0" applyNumberFormat="1" applyFont="1" applyFill="1" applyBorder="1" applyAlignment="1">
      <alignment horizontal="center" vertical="center" wrapText="1"/>
    </xf>
    <xf numFmtId="0" fontId="152" fillId="0" borderId="0" xfId="0" applyFont="1" applyAlignment="1">
      <alignment vertical="center" wrapText="1"/>
    </xf>
    <xf numFmtId="0" fontId="152" fillId="0" borderId="18" xfId="0" applyFont="1" applyBorder="1" applyAlignment="1">
      <alignment vertical="center" wrapText="1"/>
    </xf>
    <xf numFmtId="0" fontId="149" fillId="42" borderId="69" xfId="0" applyFont="1" applyFill="1" applyBorder="1" applyAlignment="1">
      <alignment horizontal="center" vertical="center" wrapText="1"/>
    </xf>
    <xf numFmtId="0" fontId="149" fillId="42" borderId="0" xfId="0" applyFont="1" applyFill="1" applyBorder="1" applyAlignment="1">
      <alignment horizontal="center" vertical="center" wrapText="1"/>
    </xf>
    <xf numFmtId="0" fontId="149" fillId="45" borderId="24" xfId="0" applyFont="1" applyFill="1" applyBorder="1" applyAlignment="1">
      <alignment horizontal="center" vertical="center" wrapText="1"/>
    </xf>
    <xf numFmtId="0" fontId="149" fillId="45" borderId="17" xfId="0" applyFont="1" applyFill="1" applyBorder="1" applyAlignment="1">
      <alignment horizontal="center" vertical="center" wrapText="1"/>
    </xf>
    <xf numFmtId="0" fontId="149" fillId="45" borderId="19" xfId="0" applyFont="1" applyFill="1" applyBorder="1" applyAlignment="1">
      <alignment horizontal="center" vertical="center" wrapText="1"/>
    </xf>
    <xf numFmtId="0" fontId="149" fillId="45" borderId="35" xfId="0" applyFont="1" applyFill="1" applyBorder="1" applyAlignment="1">
      <alignment horizontal="center" vertical="center" wrapText="1"/>
    </xf>
    <xf numFmtId="0" fontId="37" fillId="45" borderId="61" xfId="0" applyFont="1" applyFill="1" applyBorder="1" applyAlignment="1">
      <alignment vertical="center" wrapText="1"/>
    </xf>
    <xf numFmtId="0" fontId="37" fillId="45" borderId="64" xfId="0" applyFont="1" applyFill="1" applyBorder="1" applyAlignment="1">
      <alignment vertical="center" wrapText="1"/>
    </xf>
    <xf numFmtId="0" fontId="37" fillId="45" borderId="62" xfId="0" applyFont="1" applyFill="1" applyBorder="1" applyAlignment="1">
      <alignment vertical="center" wrapText="1"/>
    </xf>
    <xf numFmtId="0" fontId="151" fillId="45" borderId="61" xfId="0" applyFont="1" applyFill="1" applyBorder="1" applyAlignment="1">
      <alignment horizontal="center" vertical="center" wrapText="1"/>
    </xf>
    <xf numFmtId="0" fontId="151" fillId="45" borderId="64" xfId="0" applyFont="1" applyFill="1" applyBorder="1" applyAlignment="1">
      <alignment horizontal="center" vertical="center" wrapText="1"/>
    </xf>
    <xf numFmtId="0" fontId="151" fillId="45" borderId="62" xfId="0" applyFont="1" applyFill="1" applyBorder="1" applyAlignment="1">
      <alignment horizontal="center" vertical="center" wrapText="1"/>
    </xf>
    <xf numFmtId="0" fontId="149" fillId="0" borderId="18" xfId="0" applyFont="1" applyBorder="1" applyAlignment="1">
      <alignment vertical="center" wrapText="1"/>
    </xf>
    <xf numFmtId="0" fontId="149" fillId="45" borderId="84" xfId="0" applyFont="1" applyFill="1" applyBorder="1" applyAlignment="1">
      <alignment horizontal="center" vertical="center" wrapText="1"/>
    </xf>
    <xf numFmtId="0" fontId="149" fillId="0" borderId="61" xfId="0" applyFont="1" applyBorder="1" applyAlignment="1">
      <alignment horizontal="center" vertical="center" wrapText="1"/>
    </xf>
    <xf numFmtId="0" fontId="149" fillId="0" borderId="64" xfId="0" applyFont="1" applyBorder="1" applyAlignment="1">
      <alignment horizontal="center" vertical="center" wrapText="1"/>
    </xf>
    <xf numFmtId="0" fontId="149" fillId="0" borderId="62" xfId="0" applyFont="1" applyBorder="1" applyAlignment="1">
      <alignment horizontal="center" vertical="center" wrapText="1"/>
    </xf>
    <xf numFmtId="0" fontId="159" fillId="0" borderId="26" xfId="0" applyFont="1" applyBorder="1" applyAlignment="1">
      <alignment vertical="center" wrapText="1"/>
    </xf>
    <xf numFmtId="0" fontId="159" fillId="0" borderId="0" xfId="0" applyFont="1" applyBorder="1" applyAlignment="1">
      <alignment vertical="center" wrapText="1"/>
    </xf>
    <xf numFmtId="0" fontId="159" fillId="0" borderId="11" xfId="0" applyFont="1" applyBorder="1" applyAlignment="1">
      <alignment vertical="center" wrapText="1"/>
    </xf>
    <xf numFmtId="0" fontId="159" fillId="0" borderId="19" xfId="0" applyFont="1" applyBorder="1" applyAlignment="1">
      <alignment vertical="center" wrapText="1"/>
    </xf>
    <xf numFmtId="0" fontId="159" fillId="0" borderId="18" xfId="0" applyFont="1" applyBorder="1" applyAlignment="1">
      <alignment vertical="center" wrapText="1"/>
    </xf>
    <xf numFmtId="0" fontId="159" fillId="0" borderId="35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150" fillId="0" borderId="0" xfId="0" applyFont="1" applyAlignment="1">
      <alignment vertical="center" wrapText="1"/>
    </xf>
    <xf numFmtId="0" fontId="149" fillId="45" borderId="61" xfId="0" applyFont="1" applyFill="1" applyBorder="1" applyAlignment="1">
      <alignment vertical="center" wrapText="1"/>
    </xf>
    <xf numFmtId="0" fontId="149" fillId="45" borderId="62" xfId="0" applyFont="1" applyFill="1" applyBorder="1" applyAlignment="1">
      <alignment vertical="center" wrapText="1"/>
    </xf>
    <xf numFmtId="10" fontId="149" fillId="0" borderId="61" xfId="0" applyNumberFormat="1" applyFont="1" applyBorder="1" applyAlignment="1">
      <alignment horizontal="center" vertical="center" wrapText="1"/>
    </xf>
    <xf numFmtId="10" fontId="149" fillId="0" borderId="62" xfId="0" applyNumberFormat="1" applyFont="1" applyBorder="1" applyAlignment="1">
      <alignment horizontal="center" vertical="center" wrapText="1"/>
    </xf>
    <xf numFmtId="0" fontId="149" fillId="45" borderId="64" xfId="0" applyFont="1" applyFill="1" applyBorder="1" applyAlignment="1">
      <alignment vertical="center" wrapText="1"/>
    </xf>
    <xf numFmtId="0" fontId="149" fillId="0" borderId="24" xfId="0" applyFont="1" applyBorder="1" applyAlignment="1">
      <alignment horizontal="center" vertical="center" wrapText="1"/>
    </xf>
    <xf numFmtId="0" fontId="149" fillId="0" borderId="25" xfId="0" applyFont="1" applyBorder="1" applyAlignment="1">
      <alignment horizontal="center" vertical="center" wrapText="1"/>
    </xf>
    <xf numFmtId="0" fontId="149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49" fillId="0" borderId="26" xfId="0" applyFont="1" applyBorder="1" applyAlignment="1">
      <alignment vertical="center" wrapText="1"/>
    </xf>
    <xf numFmtId="0" fontId="149" fillId="0" borderId="0" xfId="0" applyFont="1" applyBorder="1" applyAlignment="1">
      <alignment vertical="center" wrapText="1"/>
    </xf>
    <xf numFmtId="0" fontId="149" fillId="0" borderId="11" xfId="0" applyFont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3">
    <dxf>
      <font>
        <color indexed="9"/>
      </font>
    </dxf>
    <dxf>
      <border>
        <right style="thin"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right style="thin"/>
        <top style="thin"/>
      </border>
    </dxf>
    <dxf>
      <border>
        <top style="thin"/>
      </border>
    </dxf>
    <dxf>
      <border>
        <left style="thin"/>
        <bottom style="thin"/>
      </border>
    </dxf>
    <dxf>
      <border>
        <right style="thin"/>
        <bottom style="thin"/>
      </border>
    </dxf>
    <dxf>
      <border>
        <right style="thin"/>
      </border>
    </dxf>
    <dxf>
      <border>
        <right/>
        <bottom style="thin"/>
      </border>
    </dxf>
    <dxf>
      <font>
        <color theme="0"/>
      </font>
      <fill>
        <patternFill>
          <bgColor rgb="FF7030A0"/>
        </patternFill>
      </fill>
    </dxf>
    <dxf>
      <font>
        <b/>
        <i val="0"/>
      </font>
      <fill>
        <patternFill>
          <bgColor rgb="FFFFFF99"/>
        </patternFill>
      </fill>
    </dxf>
    <dxf>
      <font>
        <color theme="0"/>
      </font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theme="0"/>
      </font>
    </dxf>
    <dxf>
      <fill>
        <patternFill>
          <bgColor theme="9" tint="0.7999799847602844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/>
        <right/>
        <bottom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right>
          <color rgb="FF000000"/>
        </right>
        <bottom style="thin">
          <color rgb="FF000000"/>
        </bottom>
      </border>
    </dxf>
    <dxf>
      <border>
        <right style="thin">
          <color rgb="FF000000"/>
        </right>
      </border>
    </dxf>
    <dxf>
      <border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  <dxf>
      <border>
        <top style="thin">
          <color rgb="FF000000"/>
        </top>
      </border>
    </dxf>
    <dxf>
      <border>
        <right style="thin">
          <color rgb="FF000000"/>
        </right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20</xdr:row>
      <xdr:rowOff>9525</xdr:rowOff>
    </xdr:from>
    <xdr:to>
      <xdr:col>15</xdr:col>
      <xdr:colOff>28575</xdr:colOff>
      <xdr:row>20</xdr:row>
      <xdr:rowOff>9525</xdr:rowOff>
    </xdr:to>
    <xdr:sp>
      <xdr:nvSpPr>
        <xdr:cNvPr id="1" name="11 Conector recto"/>
        <xdr:cNvSpPr>
          <a:spLocks/>
        </xdr:cNvSpPr>
      </xdr:nvSpPr>
      <xdr:spPr>
        <a:xfrm>
          <a:off x="4010025" y="3524250"/>
          <a:ext cx="640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104775</xdr:rowOff>
    </xdr:from>
    <xdr:to>
      <xdr:col>18</xdr:col>
      <xdr:colOff>0</xdr:colOff>
      <xdr:row>20</xdr:row>
      <xdr:rowOff>104775</xdr:rowOff>
    </xdr:to>
    <xdr:sp>
      <xdr:nvSpPr>
        <xdr:cNvPr id="2" name="7 Conector angular"/>
        <xdr:cNvSpPr>
          <a:spLocks/>
        </xdr:cNvSpPr>
      </xdr:nvSpPr>
      <xdr:spPr>
        <a:xfrm>
          <a:off x="10782300" y="3619500"/>
          <a:ext cx="0" cy="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95250</xdr:rowOff>
    </xdr:from>
    <xdr:to>
      <xdr:col>17</xdr:col>
      <xdr:colOff>0</xdr:colOff>
      <xdr:row>7</xdr:row>
      <xdr:rowOff>95250</xdr:rowOff>
    </xdr:to>
    <xdr:sp>
      <xdr:nvSpPr>
        <xdr:cNvPr id="3" name="8 Conector angular"/>
        <xdr:cNvSpPr>
          <a:spLocks/>
        </xdr:cNvSpPr>
      </xdr:nvSpPr>
      <xdr:spPr>
        <a:xfrm>
          <a:off x="10782300" y="1352550"/>
          <a:ext cx="0" cy="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9525</xdr:rowOff>
    </xdr:from>
    <xdr:to>
      <xdr:col>15</xdr:col>
      <xdr:colOff>28575</xdr:colOff>
      <xdr:row>32</xdr:row>
      <xdr:rowOff>9525</xdr:rowOff>
    </xdr:to>
    <xdr:sp>
      <xdr:nvSpPr>
        <xdr:cNvPr id="4" name="11 Conector recto"/>
        <xdr:cNvSpPr>
          <a:spLocks/>
        </xdr:cNvSpPr>
      </xdr:nvSpPr>
      <xdr:spPr>
        <a:xfrm>
          <a:off x="4038600" y="5838825"/>
          <a:ext cx="637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38</xdr:row>
      <xdr:rowOff>28575</xdr:rowOff>
    </xdr:from>
    <xdr:to>
      <xdr:col>14</xdr:col>
      <xdr:colOff>733425</xdr:colOff>
      <xdr:row>38</xdr:row>
      <xdr:rowOff>28575</xdr:rowOff>
    </xdr:to>
    <xdr:sp>
      <xdr:nvSpPr>
        <xdr:cNvPr id="5" name="14 Conector recto"/>
        <xdr:cNvSpPr>
          <a:spLocks/>
        </xdr:cNvSpPr>
      </xdr:nvSpPr>
      <xdr:spPr>
        <a:xfrm flipV="1">
          <a:off x="4029075" y="7029450"/>
          <a:ext cx="625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23</xdr:row>
      <xdr:rowOff>104775</xdr:rowOff>
    </xdr:from>
    <xdr:to>
      <xdr:col>13</xdr:col>
      <xdr:colOff>504825</xdr:colOff>
      <xdr:row>23</xdr:row>
      <xdr:rowOff>104775</xdr:rowOff>
    </xdr:to>
    <xdr:sp>
      <xdr:nvSpPr>
        <xdr:cNvPr id="6" name="2 Conector recto de flecha"/>
        <xdr:cNvSpPr>
          <a:spLocks/>
        </xdr:cNvSpPr>
      </xdr:nvSpPr>
      <xdr:spPr>
        <a:xfrm>
          <a:off x="7639050" y="4191000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21</xdr:row>
      <xdr:rowOff>114300</xdr:rowOff>
    </xdr:from>
    <xdr:to>
      <xdr:col>2</xdr:col>
      <xdr:colOff>2238375</xdr:colOff>
      <xdr:row>21</xdr:row>
      <xdr:rowOff>114300</xdr:rowOff>
    </xdr:to>
    <xdr:sp>
      <xdr:nvSpPr>
        <xdr:cNvPr id="7" name="2 Conector recto de flecha"/>
        <xdr:cNvSpPr>
          <a:spLocks/>
        </xdr:cNvSpPr>
      </xdr:nvSpPr>
      <xdr:spPr>
        <a:xfrm>
          <a:off x="1447800" y="3819525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1695450</xdr:colOff>
      <xdr:row>32</xdr:row>
      <xdr:rowOff>123825</xdr:rowOff>
    </xdr:from>
    <xdr:to>
      <xdr:col>2</xdr:col>
      <xdr:colOff>2238375</xdr:colOff>
      <xdr:row>32</xdr:row>
      <xdr:rowOff>123825</xdr:rowOff>
    </xdr:to>
    <xdr:sp>
      <xdr:nvSpPr>
        <xdr:cNvPr id="8" name="2 Conector recto de flecha"/>
        <xdr:cNvSpPr>
          <a:spLocks/>
        </xdr:cNvSpPr>
      </xdr:nvSpPr>
      <xdr:spPr>
        <a:xfrm>
          <a:off x="2038350" y="59531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</xdr:row>
      <xdr:rowOff>123825</xdr:rowOff>
    </xdr:from>
    <xdr:to>
      <xdr:col>16</xdr:col>
      <xdr:colOff>161925</xdr:colOff>
      <xdr:row>4</xdr:row>
      <xdr:rowOff>19050</xdr:rowOff>
    </xdr:to>
    <xdr:grpSp>
      <xdr:nvGrpSpPr>
        <xdr:cNvPr id="9" name="Grupo 28"/>
        <xdr:cNvGrpSpPr>
          <a:grpSpLocks/>
        </xdr:cNvGrpSpPr>
      </xdr:nvGrpSpPr>
      <xdr:grpSpPr>
        <a:xfrm>
          <a:off x="8572500" y="276225"/>
          <a:ext cx="2133600" cy="476250"/>
          <a:chOff x="3568779" y="5427315"/>
          <a:chExt cx="2697742" cy="616641"/>
        </a:xfrm>
        <a:solidFill>
          <a:srgbClr val="FFFFFF"/>
        </a:solidFill>
      </xdr:grpSpPr>
      <xdr:pic>
        <xdr:nvPicPr>
          <xdr:cNvPr id="10" name="20 Imagen"/>
          <xdr:cNvPicPr preferRelativeResize="1">
            <a:picLocks noChangeAspect="1"/>
          </xdr:cNvPicPr>
        </xdr:nvPicPr>
        <xdr:blipFill>
          <a:blip r:embed="rId1"/>
          <a:srcRect l="22604"/>
          <a:stretch>
            <a:fillRect/>
          </a:stretch>
        </xdr:blipFill>
        <xdr:spPr>
          <a:xfrm>
            <a:off x="4053024" y="5427315"/>
            <a:ext cx="2213497" cy="6166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30"/>
          <xdr:cNvPicPr preferRelativeResize="1">
            <a:picLocks noChangeAspect="1"/>
          </xdr:cNvPicPr>
        </xdr:nvPicPr>
        <xdr:blipFill>
          <a:blip r:embed="rId2"/>
          <a:srcRect r="79331"/>
          <a:stretch>
            <a:fillRect/>
          </a:stretch>
        </xdr:blipFill>
        <xdr:spPr>
          <a:xfrm>
            <a:off x="3568779" y="5458301"/>
            <a:ext cx="503129" cy="5344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123825</xdr:colOff>
      <xdr:row>1</xdr:row>
      <xdr:rowOff>133350</xdr:rowOff>
    </xdr:from>
    <xdr:to>
      <xdr:col>2</xdr:col>
      <xdr:colOff>2019300</xdr:colOff>
      <xdr:row>4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85750"/>
          <a:ext cx="2133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504825</xdr:colOff>
      <xdr:row>2</xdr:row>
      <xdr:rowOff>38100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1924050</xdr:colOff>
      <xdr:row>0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1" name="22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2" name="23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3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3" name="26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3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9525</xdr:colOff>
      <xdr:row>67</xdr:row>
      <xdr:rowOff>9525</xdr:rowOff>
    </xdr:to>
    <xdr:pic>
      <xdr:nvPicPr>
        <xdr:cNvPr id="4" name="28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1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42</xdr:row>
      <xdr:rowOff>9525</xdr:rowOff>
    </xdr:to>
    <xdr:pic>
      <xdr:nvPicPr>
        <xdr:cNvPr id="5" name="28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0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6" name="22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7" name="23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20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8" name="22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9525</xdr:colOff>
      <xdr:row>26</xdr:row>
      <xdr:rowOff>9525</xdr:rowOff>
    </xdr:to>
    <xdr:pic>
      <xdr:nvPicPr>
        <xdr:cNvPr id="9" name="23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03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0" name="28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76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9525</xdr:colOff>
      <xdr:row>54</xdr:row>
      <xdr:rowOff>9525</xdr:rowOff>
    </xdr:to>
    <xdr:pic>
      <xdr:nvPicPr>
        <xdr:cNvPr id="11" name="26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084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9525</xdr:colOff>
      <xdr:row>73</xdr:row>
      <xdr:rowOff>9525</xdr:rowOff>
    </xdr:to>
    <xdr:pic>
      <xdr:nvPicPr>
        <xdr:cNvPr id="12" name="28 Imagen" descr="http://sintranet04:8080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5049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1038225</xdr:colOff>
      <xdr:row>58</xdr:row>
      <xdr:rowOff>66675</xdr:rowOff>
    </xdr:to>
    <xdr:pic>
      <xdr:nvPicPr>
        <xdr:cNvPr id="13" name="Imagen 1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11039475"/>
          <a:ext cx="4914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5</xdr:col>
      <xdr:colOff>695325</xdr:colOff>
      <xdr:row>69</xdr:row>
      <xdr:rowOff>152400</xdr:rowOff>
    </xdr:to>
    <xdr:pic>
      <xdr:nvPicPr>
        <xdr:cNvPr id="14" name="Imagen 2" descr="image0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2944475"/>
          <a:ext cx="38100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73</xdr:row>
      <xdr:rowOff>19050</xdr:rowOff>
    </xdr:from>
    <xdr:to>
      <xdr:col>5</xdr:col>
      <xdr:colOff>123825</xdr:colOff>
      <xdr:row>75</xdr:row>
      <xdr:rowOff>152400</xdr:rowOff>
    </xdr:to>
    <xdr:pic>
      <xdr:nvPicPr>
        <xdr:cNvPr id="15" name="Imagen 3" descr="image0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0" y="150685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xmtyipr1as2029:90/intranet/normatividad/Manuales%20Publicados/92EF8FF4A3C8837A8625798F005DF729.aspx" TargetMode="External" /><Relationship Id="rId2" Type="http://schemas.openxmlformats.org/officeDocument/2006/relationships/hyperlink" Target="http://mxmtyipr1as2029:90/intranet/Normatividad/Manuales%20Publicados/6AB4504387D0D23706256E15006521C0.aspx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N523"/>
  <sheetViews>
    <sheetView showGridLines="0" showRowColHeaders="0" tabSelected="1" zoomScale="96" zoomScaleNormal="96" zoomScalePageLayoutView="0" workbookViewId="0" topLeftCell="A1">
      <selection activeCell="D21" sqref="D21"/>
    </sheetView>
  </sheetViews>
  <sheetFormatPr defaultColWidth="4.00390625" defaultRowHeight="12.75"/>
  <cols>
    <col min="1" max="1" width="1.57421875" style="1" customWidth="1"/>
    <col min="2" max="2" width="3.57421875" style="1" customWidth="1"/>
    <col min="3" max="3" width="34.00390625" style="1" customWidth="1"/>
    <col min="4" max="4" width="17.00390625" style="1" customWidth="1"/>
    <col min="5" max="6" width="1.57421875" style="1" customWidth="1"/>
    <col min="7" max="8" width="10.57421875" style="1" customWidth="1"/>
    <col min="9" max="9" width="16.8515625" style="1" customWidth="1"/>
    <col min="10" max="10" width="2.8515625" style="2" customWidth="1"/>
    <col min="11" max="11" width="10.57421875" style="2" customWidth="1"/>
    <col min="12" max="12" width="14.57421875" style="2" customWidth="1"/>
    <col min="13" max="13" width="9.421875" style="2" customWidth="1"/>
    <col min="14" max="14" width="8.57421875" style="2" customWidth="1"/>
    <col min="15" max="15" width="12.421875" style="2" customWidth="1"/>
    <col min="16" max="16" width="2.421875" style="2" customWidth="1"/>
    <col min="17" max="17" width="3.57421875" style="2" customWidth="1"/>
    <col min="18" max="18" width="1.8515625" style="2" hidden="1" customWidth="1"/>
    <col min="19" max="19" width="19.421875" style="2" hidden="1" customWidth="1"/>
    <col min="20" max="20" width="23.00390625" style="2" hidden="1" customWidth="1"/>
    <col min="21" max="21" width="12.421875" style="1" hidden="1" customWidth="1"/>
    <col min="22" max="22" width="11.57421875" style="1" hidden="1" customWidth="1"/>
    <col min="23" max="23" width="13.00390625" style="1" hidden="1" customWidth="1"/>
    <col min="24" max="24" width="11.140625" style="1" hidden="1" customWidth="1"/>
    <col min="25" max="25" width="12.8515625" style="51" hidden="1" customWidth="1"/>
    <col min="26" max="26" width="12.421875" style="49" hidden="1" customWidth="1"/>
    <col min="27" max="27" width="16.421875" style="49" hidden="1" customWidth="1"/>
    <col min="28" max="28" width="12.140625" style="49" hidden="1" customWidth="1"/>
    <col min="29" max="29" width="12.421875" style="49" hidden="1" customWidth="1"/>
    <col min="30" max="30" width="11.57421875" style="49" hidden="1" customWidth="1"/>
    <col min="31" max="31" width="11.00390625" style="49" hidden="1" customWidth="1"/>
    <col min="32" max="32" width="12.140625" style="49" hidden="1" customWidth="1"/>
    <col min="33" max="33" width="17.57421875" style="1" hidden="1" customWidth="1"/>
    <col min="34" max="34" width="11.57421875" style="1" hidden="1" customWidth="1"/>
    <col min="35" max="35" width="11.421875" style="1" hidden="1" customWidth="1"/>
    <col min="36" max="36" width="12.00390625" style="1" hidden="1" customWidth="1"/>
    <col min="37" max="37" width="11.57421875" style="1" hidden="1" customWidth="1"/>
    <col min="38" max="38" width="11.421875" style="1" hidden="1" customWidth="1"/>
    <col min="39" max="39" width="4.00390625" style="1" hidden="1" customWidth="1"/>
    <col min="40" max="40" width="2.140625" style="1" hidden="1" customWidth="1"/>
    <col min="41" max="16384" width="4.00390625" style="1" customWidth="1"/>
  </cols>
  <sheetData>
    <row r="1" spans="18:40" ht="12" thickBot="1">
      <c r="R1" s="499" t="s">
        <v>162</v>
      </c>
      <c r="AG1" s="49"/>
      <c r="AN1" s="499" t="s">
        <v>162</v>
      </c>
    </row>
    <row r="2" spans="2:33" ht="12.75">
      <c r="B2" s="134"/>
      <c r="C2" s="135"/>
      <c r="D2" s="135"/>
      <c r="E2" s="135"/>
      <c r="F2" s="135"/>
      <c r="G2" s="135"/>
      <c r="H2" s="135"/>
      <c r="I2" s="135"/>
      <c r="J2" s="136"/>
      <c r="K2" s="136"/>
      <c r="L2" s="136"/>
      <c r="M2" s="136"/>
      <c r="N2" s="136"/>
      <c r="O2" s="136"/>
      <c r="P2" s="136"/>
      <c r="Q2" s="137"/>
      <c r="S2" s="589" t="s">
        <v>85</v>
      </c>
      <c r="T2" s="590"/>
      <c r="U2" s="590"/>
      <c r="V2" s="590"/>
      <c r="W2" s="590"/>
      <c r="X2" s="590"/>
      <c r="Y2" s="590"/>
      <c r="Z2" s="590"/>
      <c r="AA2" s="590"/>
      <c r="AD2" s="569" t="s">
        <v>106</v>
      </c>
      <c r="AE2" s="570"/>
      <c r="AF2" s="571"/>
      <c r="AG2" s="572"/>
    </row>
    <row r="3" spans="2:33" ht="20.25">
      <c r="B3" s="138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139"/>
      <c r="S3" s="590"/>
      <c r="T3" s="590"/>
      <c r="U3" s="590"/>
      <c r="V3" s="590"/>
      <c r="W3" s="590"/>
      <c r="X3" s="590"/>
      <c r="Y3" s="590"/>
      <c r="Z3" s="590"/>
      <c r="AA3" s="590"/>
      <c r="AD3" s="573"/>
      <c r="AE3" s="570"/>
      <c r="AF3" s="571"/>
      <c r="AG3" s="572"/>
    </row>
    <row r="4" spans="2:33" ht="12.75">
      <c r="B4" s="138"/>
      <c r="C4" s="56"/>
      <c r="D4" s="56"/>
      <c r="E4" s="56"/>
      <c r="F4" s="56"/>
      <c r="G4" s="56"/>
      <c r="H4" s="56"/>
      <c r="I4" s="56"/>
      <c r="J4" s="52"/>
      <c r="K4" s="52"/>
      <c r="L4" s="52"/>
      <c r="M4" s="52"/>
      <c r="N4" s="52"/>
      <c r="O4" s="52"/>
      <c r="P4" s="52"/>
      <c r="Q4" s="139"/>
      <c r="S4" s="705" t="s">
        <v>86</v>
      </c>
      <c r="T4" s="705"/>
      <c r="U4" s="705"/>
      <c r="V4" s="705"/>
      <c r="W4" s="705"/>
      <c r="X4" s="705"/>
      <c r="Y4" s="705"/>
      <c r="Z4" s="705"/>
      <c r="AA4" s="705"/>
      <c r="AD4" s="574" t="s">
        <v>107</v>
      </c>
      <c r="AE4" s="575">
        <f>O24</f>
        <v>0</v>
      </c>
      <c r="AF4" s="571"/>
      <c r="AG4" s="572"/>
    </row>
    <row r="5" spans="2:33" ht="15.75">
      <c r="B5" s="138"/>
      <c r="C5" s="714" t="s">
        <v>26</v>
      </c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139"/>
      <c r="S5" s="591" t="s">
        <v>87</v>
      </c>
      <c r="T5" s="592"/>
      <c r="U5" s="592"/>
      <c r="V5" s="591" t="s">
        <v>88</v>
      </c>
      <c r="W5" s="592"/>
      <c r="X5" s="592"/>
      <c r="Y5" s="592"/>
      <c r="Z5" s="592"/>
      <c r="AA5" s="592"/>
      <c r="AD5" s="573"/>
      <c r="AE5" s="570"/>
      <c r="AF5" s="571"/>
      <c r="AG5" s="572"/>
    </row>
    <row r="6" spans="2:33" ht="12.75">
      <c r="B6" s="138"/>
      <c r="C6" s="56"/>
      <c r="D6" s="56"/>
      <c r="E6" s="56"/>
      <c r="F6" s="56"/>
      <c r="G6" s="56"/>
      <c r="H6" s="56"/>
      <c r="I6" s="56"/>
      <c r="J6" s="57"/>
      <c r="K6" s="57"/>
      <c r="L6" s="57"/>
      <c r="M6" s="52"/>
      <c r="N6" s="52"/>
      <c r="O6" s="52"/>
      <c r="P6" s="52"/>
      <c r="Q6" s="139"/>
      <c r="S6" s="592" t="s">
        <v>89</v>
      </c>
      <c r="T6" s="593"/>
      <c r="U6" s="592"/>
      <c r="V6" s="592" t="s">
        <v>90</v>
      </c>
      <c r="W6" s="594">
        <v>0.05</v>
      </c>
      <c r="X6" s="592"/>
      <c r="Y6" s="592"/>
      <c r="Z6" s="592"/>
      <c r="AA6" s="592"/>
      <c r="AD6" s="573" t="s">
        <v>108</v>
      </c>
      <c r="AE6" s="575">
        <f>O33</f>
        <v>0</v>
      </c>
      <c r="AF6" s="571"/>
      <c r="AG6" s="572"/>
    </row>
    <row r="7" spans="2:33" ht="12.75">
      <c r="B7" s="138"/>
      <c r="C7" s="56"/>
      <c r="D7" s="59"/>
      <c r="E7" s="59"/>
      <c r="F7" s="56"/>
      <c r="G7" s="56"/>
      <c r="H7" s="56"/>
      <c r="I7" s="56"/>
      <c r="J7" s="57"/>
      <c r="K7" s="52"/>
      <c r="L7" s="52"/>
      <c r="M7" s="52"/>
      <c r="N7" s="52"/>
      <c r="O7" s="52"/>
      <c r="P7" s="52"/>
      <c r="Q7" s="139"/>
      <c r="S7" s="592" t="s">
        <v>91</v>
      </c>
      <c r="T7" s="593"/>
      <c r="U7" s="592"/>
      <c r="V7" s="595" t="s">
        <v>36</v>
      </c>
      <c r="W7" s="596">
        <v>1</v>
      </c>
      <c r="X7" s="596">
        <v>2</v>
      </c>
      <c r="Y7" s="596">
        <v>3</v>
      </c>
      <c r="Z7" s="596">
        <v>4</v>
      </c>
      <c r="AA7" s="596">
        <v>5</v>
      </c>
      <c r="AD7" s="573"/>
      <c r="AE7" s="570"/>
      <c r="AF7" s="571"/>
      <c r="AG7" s="572"/>
    </row>
    <row r="8" spans="2:33" ht="13.5" thickBot="1">
      <c r="B8" s="140"/>
      <c r="C8" s="404">
        <f ca="1">TODAY()</f>
        <v>44235</v>
      </c>
      <c r="D8" s="141"/>
      <c r="E8" s="141"/>
      <c r="F8" s="141"/>
      <c r="G8" s="141"/>
      <c r="H8" s="141"/>
      <c r="I8" s="141"/>
      <c r="J8" s="142"/>
      <c r="K8" s="142"/>
      <c r="L8" s="142"/>
      <c r="M8" s="142"/>
      <c r="N8" s="142"/>
      <c r="O8" s="142"/>
      <c r="P8" s="142"/>
      <c r="Q8" s="143"/>
      <c r="S8" s="592" t="s">
        <v>92</v>
      </c>
      <c r="T8" s="597">
        <f>D36+D42</f>
        <v>0</v>
      </c>
      <c r="U8" s="592"/>
      <c r="V8" s="592" t="s">
        <v>6</v>
      </c>
      <c r="W8" s="598">
        <f>$T$8</f>
        <v>0</v>
      </c>
      <c r="X8" s="598">
        <f>W12</f>
        <v>0</v>
      </c>
      <c r="Y8" s="598">
        <f>X12</f>
        <v>0</v>
      </c>
      <c r="Z8" s="598">
        <f>Y12</f>
        <v>0</v>
      </c>
      <c r="AA8" s="598">
        <f>Z12</f>
        <v>0</v>
      </c>
      <c r="AD8" s="574" t="s">
        <v>109</v>
      </c>
      <c r="AE8" s="576">
        <f>AE4*AE23</f>
        <v>0</v>
      </c>
      <c r="AF8" s="571"/>
      <c r="AG8" s="572"/>
    </row>
    <row r="9" spans="2:33" ht="13.5" thickBot="1">
      <c r="B9" s="135"/>
      <c r="C9" s="135"/>
      <c r="D9" s="135"/>
      <c r="E9" s="135"/>
      <c r="F9" s="135"/>
      <c r="G9" s="135"/>
      <c r="H9" s="135"/>
      <c r="I9" s="135"/>
      <c r="J9" s="136"/>
      <c r="K9" s="136"/>
      <c r="L9" s="136"/>
      <c r="M9" s="136"/>
      <c r="N9" s="136"/>
      <c r="O9" s="136"/>
      <c r="P9" s="136"/>
      <c r="Q9" s="136"/>
      <c r="S9" s="592"/>
      <c r="T9" s="592"/>
      <c r="U9" s="592"/>
      <c r="V9" s="592" t="s">
        <v>93</v>
      </c>
      <c r="W9" s="599">
        <f>W6</f>
        <v>0.05</v>
      </c>
      <c r="X9" s="599">
        <f>W9</f>
        <v>0.05</v>
      </c>
      <c r="Y9" s="599">
        <f>X9</f>
        <v>0.05</v>
      </c>
      <c r="Z9" s="599">
        <f>Y9</f>
        <v>0.05</v>
      </c>
      <c r="AA9" s="599">
        <f>Z9</f>
        <v>0.05</v>
      </c>
      <c r="AD9" s="574"/>
      <c r="AE9" s="570"/>
      <c r="AF9" s="571"/>
      <c r="AG9" s="572"/>
    </row>
    <row r="10" spans="2:33" ht="12.75">
      <c r="B10" s="134"/>
      <c r="C10" s="250"/>
      <c r="D10" s="250"/>
      <c r="E10" s="250"/>
      <c r="F10" s="250"/>
      <c r="G10" s="250"/>
      <c r="H10" s="250"/>
      <c r="I10" s="251"/>
      <c r="J10" s="251"/>
      <c r="K10" s="251"/>
      <c r="L10" s="251"/>
      <c r="M10" s="251"/>
      <c r="N10" s="251"/>
      <c r="O10" s="251"/>
      <c r="P10" s="136"/>
      <c r="Q10" s="137"/>
      <c r="S10" s="592"/>
      <c r="T10" s="592"/>
      <c r="U10" s="592"/>
      <c r="V10" s="592" t="s">
        <v>43</v>
      </c>
      <c r="W10" s="598">
        <f>W8*$W$6</f>
        <v>0</v>
      </c>
      <c r="X10" s="598">
        <f>X8*$W$6</f>
        <v>0</v>
      </c>
      <c r="Y10" s="598">
        <f>Y8*$W$6</f>
        <v>0</v>
      </c>
      <c r="Z10" s="598">
        <f>Z8*$W$6</f>
        <v>0</v>
      </c>
      <c r="AA10" s="598">
        <f>AA8*$W$6</f>
        <v>0</v>
      </c>
      <c r="AD10" s="574" t="s">
        <v>110</v>
      </c>
      <c r="AE10" s="577">
        <f>T21</f>
        <v>0</v>
      </c>
      <c r="AF10" s="571"/>
      <c r="AG10" s="572"/>
    </row>
    <row r="11" spans="2:33" ht="12.75">
      <c r="B11" s="138"/>
      <c r="C11" s="252" t="s">
        <v>137</v>
      </c>
      <c r="D11" s="252"/>
      <c r="E11" s="252"/>
      <c r="F11" s="253"/>
      <c r="G11" s="252" t="s">
        <v>174</v>
      </c>
      <c r="H11" s="252"/>
      <c r="I11" s="252"/>
      <c r="J11" s="253"/>
      <c r="K11" s="252" t="s">
        <v>173</v>
      </c>
      <c r="L11" s="505"/>
      <c r="M11" s="721"/>
      <c r="N11" s="721"/>
      <c r="O11" s="721"/>
      <c r="P11" s="53"/>
      <c r="Q11" s="139"/>
      <c r="S11" s="592"/>
      <c r="T11" s="592"/>
      <c r="U11" s="592"/>
      <c r="V11" s="592" t="s">
        <v>94</v>
      </c>
      <c r="W11" s="600">
        <f>(W8+W10)/5</f>
        <v>0</v>
      </c>
      <c r="X11" s="600">
        <f>(X8+X10)/4</f>
        <v>0</v>
      </c>
      <c r="Y11" s="600">
        <f>(Y8+Y10)/3</f>
        <v>0</v>
      </c>
      <c r="Z11" s="600">
        <f>(Z8+Z10)/2</f>
        <v>0</v>
      </c>
      <c r="AA11" s="600">
        <f>(AA8+AA10)/1</f>
        <v>0</v>
      </c>
      <c r="AD11" s="578" t="s">
        <v>344</v>
      </c>
      <c r="AE11" s="579">
        <f>_xlfn.IFERROR((D37+D43-O27-O26),0)</f>
        <v>0</v>
      </c>
      <c r="AF11" s="571"/>
      <c r="AG11" s="572"/>
    </row>
    <row r="12" spans="2:33" ht="12.75">
      <c r="B12" s="138"/>
      <c r="C12" s="715"/>
      <c r="D12" s="715"/>
      <c r="E12" s="715"/>
      <c r="F12" s="715"/>
      <c r="G12" s="66"/>
      <c r="H12" s="255"/>
      <c r="I12" s="66"/>
      <c r="J12" s="66"/>
      <c r="K12" s="715"/>
      <c r="L12" s="715"/>
      <c r="M12" s="715"/>
      <c r="N12" s="715"/>
      <c r="O12" s="256"/>
      <c r="P12" s="52"/>
      <c r="Q12" s="139"/>
      <c r="S12" s="592"/>
      <c r="T12" s="592"/>
      <c r="U12" s="592"/>
      <c r="V12" s="592" t="s">
        <v>10</v>
      </c>
      <c r="W12" s="598">
        <f>W8+W10-W11</f>
        <v>0</v>
      </c>
      <c r="X12" s="598">
        <f>X8+X10-X11</f>
        <v>0</v>
      </c>
      <c r="Y12" s="598">
        <f>Y8+Y10-Y11</f>
        <v>0</v>
      </c>
      <c r="Z12" s="598">
        <f>Z8+Z10-Z11</f>
        <v>0</v>
      </c>
      <c r="AA12" s="598">
        <f>AA8+AA10-AA11</f>
        <v>0</v>
      </c>
      <c r="AD12" s="573" t="s">
        <v>91</v>
      </c>
      <c r="AE12" s="579">
        <f>D35+D41</f>
        <v>0</v>
      </c>
      <c r="AF12" s="571"/>
      <c r="AG12" s="572"/>
    </row>
    <row r="13" spans="2:33" ht="12.75">
      <c r="B13" s="138"/>
      <c r="C13" s="252" t="s">
        <v>138</v>
      </c>
      <c r="D13" s="252"/>
      <c r="E13" s="252"/>
      <c r="F13" s="255"/>
      <c r="G13" s="255"/>
      <c r="H13" s="255"/>
      <c r="I13" s="257"/>
      <c r="J13" s="258"/>
      <c r="K13" s="252" t="s">
        <v>138</v>
      </c>
      <c r="L13" s="252"/>
      <c r="M13" s="252"/>
      <c r="N13" s="254"/>
      <c r="O13" s="254"/>
      <c r="P13" s="53"/>
      <c r="Q13" s="139"/>
      <c r="S13" s="592"/>
      <c r="T13" s="592"/>
      <c r="U13" s="592"/>
      <c r="V13" s="591" t="s">
        <v>95</v>
      </c>
      <c r="W13" s="600"/>
      <c r="X13" s="600"/>
      <c r="Y13" s="600"/>
      <c r="Z13" s="600"/>
      <c r="AA13" s="600"/>
      <c r="AD13" s="573" t="s">
        <v>111</v>
      </c>
      <c r="AE13" s="570"/>
      <c r="AF13" s="571"/>
      <c r="AG13" s="572"/>
    </row>
    <row r="14" spans="2:33" ht="13.5" thickBot="1">
      <c r="B14" s="140"/>
      <c r="C14" s="144"/>
      <c r="D14" s="144"/>
      <c r="E14" s="144"/>
      <c r="F14" s="141"/>
      <c r="G14" s="145"/>
      <c r="H14" s="145"/>
      <c r="I14" s="144"/>
      <c r="J14" s="144"/>
      <c r="K14" s="142"/>
      <c r="L14" s="146"/>
      <c r="M14" s="146"/>
      <c r="N14" s="142"/>
      <c r="O14" s="142"/>
      <c r="P14" s="146"/>
      <c r="Q14" s="143"/>
      <c r="S14" s="592"/>
      <c r="T14" s="592"/>
      <c r="U14" s="592"/>
      <c r="V14" s="592" t="s">
        <v>96</v>
      </c>
      <c r="W14" s="601">
        <f>1/(1+$T$20)^1</f>
        <v>0.9070294784580498</v>
      </c>
      <c r="X14" s="601">
        <f>1/(1+$T$20)^2</f>
        <v>0.822702474791882</v>
      </c>
      <c r="Y14" s="601">
        <f>1/(1+$T$20)^3</f>
        <v>0.7462153966366276</v>
      </c>
      <c r="Z14" s="601">
        <f>1/(1+$T$20)^4</f>
        <v>0.6768393620286872</v>
      </c>
      <c r="AA14" s="601">
        <f>1/(1+$T$20)^5</f>
        <v>0.6139132535407593</v>
      </c>
      <c r="AD14" s="580" t="s">
        <v>112</v>
      </c>
      <c r="AE14" s="581">
        <f>AE8-AE10</f>
        <v>0</v>
      </c>
      <c r="AF14" s="581" t="s">
        <v>113</v>
      </c>
      <c r="AG14" s="581"/>
    </row>
    <row r="15" spans="2:33" ht="13.5" thickBot="1">
      <c r="B15" s="56"/>
      <c r="C15" s="715"/>
      <c r="D15" s="715"/>
      <c r="E15" s="715"/>
      <c r="F15" s="715"/>
      <c r="G15" s="66"/>
      <c r="H15" s="66"/>
      <c r="I15" s="66"/>
      <c r="J15" s="66"/>
      <c r="K15" s="66"/>
      <c r="L15" s="66"/>
      <c r="M15" s="66"/>
      <c r="N15" s="52"/>
      <c r="O15" s="52"/>
      <c r="P15" s="52"/>
      <c r="Q15" s="52"/>
      <c r="S15" s="592"/>
      <c r="T15" s="592"/>
      <c r="U15" s="592"/>
      <c r="V15" s="592" t="s">
        <v>97</v>
      </c>
      <c r="W15" s="598">
        <f>W11*W14</f>
        <v>0</v>
      </c>
      <c r="X15" s="598">
        <f>X11*X14</f>
        <v>0</v>
      </c>
      <c r="Y15" s="598">
        <f>Y11*Y14</f>
        <v>0</v>
      </c>
      <c r="Z15" s="598">
        <f>Z11*Z14</f>
        <v>0</v>
      </c>
      <c r="AA15" s="598">
        <f>AA11*AA14</f>
        <v>0</v>
      </c>
      <c r="AD15" s="580" t="s">
        <v>114</v>
      </c>
      <c r="AE15" s="581">
        <f>AE4-AE11-AE10</f>
        <v>0</v>
      </c>
      <c r="AF15" s="581" t="s">
        <v>115</v>
      </c>
      <c r="AG15" s="581"/>
    </row>
    <row r="16" spans="2:33" ht="12.75">
      <c r="B16" s="134"/>
      <c r="C16" s="135"/>
      <c r="D16" s="135"/>
      <c r="E16" s="135"/>
      <c r="F16" s="135"/>
      <c r="G16" s="135"/>
      <c r="H16" s="135"/>
      <c r="I16" s="135"/>
      <c r="J16" s="136"/>
      <c r="K16" s="136"/>
      <c r="L16" s="136"/>
      <c r="M16" s="136"/>
      <c r="N16" s="136"/>
      <c r="O16" s="136"/>
      <c r="P16" s="136"/>
      <c r="Q16" s="137"/>
      <c r="S16" s="592"/>
      <c r="T16" s="592"/>
      <c r="U16" s="592"/>
      <c r="V16" s="591" t="s">
        <v>39</v>
      </c>
      <c r="W16" s="602">
        <f>SUM(W15:AA15)</f>
        <v>0</v>
      </c>
      <c r="X16" s="600"/>
      <c r="Y16" s="600"/>
      <c r="Z16" s="600"/>
      <c r="AA16" s="600"/>
      <c r="AD16" s="580"/>
      <c r="AE16" s="582"/>
      <c r="AF16" s="581" t="s">
        <v>116</v>
      </c>
      <c r="AG16" s="581"/>
    </row>
    <row r="17" spans="2:33" ht="15" customHeight="1">
      <c r="B17" s="138"/>
      <c r="C17" s="147" t="s">
        <v>14</v>
      </c>
      <c r="D17" s="42"/>
      <c r="E17" s="42"/>
      <c r="F17" s="56"/>
      <c r="G17" s="82" t="s">
        <v>74</v>
      </c>
      <c r="H17" s="83"/>
      <c r="I17" s="83"/>
      <c r="J17" s="84"/>
      <c r="K17" s="84"/>
      <c r="L17" s="84"/>
      <c r="M17" s="84"/>
      <c r="N17" s="84"/>
      <c r="O17" s="84"/>
      <c r="P17" s="85"/>
      <c r="Q17" s="139"/>
      <c r="S17" s="706" t="s">
        <v>98</v>
      </c>
      <c r="T17" s="706"/>
      <c r="U17" s="706"/>
      <c r="V17" s="706"/>
      <c r="W17" s="706"/>
      <c r="X17" s="706"/>
      <c r="Y17" s="706"/>
      <c r="Z17" s="706"/>
      <c r="AA17" s="706"/>
      <c r="AD17" s="580" t="s">
        <v>117</v>
      </c>
      <c r="AE17" s="581">
        <f>IF(AE28=1,AF17,MIN(AE14:AE16))</f>
        <v>0</v>
      </c>
      <c r="AF17" s="583">
        <f>MIN(AE14,AE15,AF19)</f>
        <v>0</v>
      </c>
      <c r="AG17" s="581"/>
    </row>
    <row r="18" spans="2:33" ht="15" customHeight="1">
      <c r="B18" s="138"/>
      <c r="D18" s="43"/>
      <c r="E18" s="43"/>
      <c r="F18" s="56"/>
      <c r="G18" s="103" t="s">
        <v>129</v>
      </c>
      <c r="H18" s="56"/>
      <c r="I18" s="716" t="str">
        <f>_xlfn.IFERROR(VLOOKUP($U$38,$S$32:$T$37,2,0),"")</f>
        <v>Adquisición Tradicional</v>
      </c>
      <c r="J18" s="716"/>
      <c r="K18" s="716"/>
      <c r="L18" s="716"/>
      <c r="M18" s="52"/>
      <c r="N18" s="52"/>
      <c r="O18" s="52"/>
      <c r="P18" s="87"/>
      <c r="Q18" s="139"/>
      <c r="S18" s="591" t="s">
        <v>99</v>
      </c>
      <c r="T18" s="592"/>
      <c r="U18" s="592"/>
      <c r="V18" s="591" t="s">
        <v>100</v>
      </c>
      <c r="W18" s="592"/>
      <c r="X18" s="592"/>
      <c r="Y18" s="592"/>
      <c r="Z18" s="592"/>
      <c r="AA18" s="592"/>
      <c r="AD18" s="573"/>
      <c r="AE18" s="570"/>
      <c r="AF18" s="583"/>
      <c r="AG18" s="581"/>
    </row>
    <row r="19" spans="2:34" ht="15" customHeight="1">
      <c r="B19" s="138"/>
      <c r="C19" s="148" t="s">
        <v>68</v>
      </c>
      <c r="D19" s="44"/>
      <c r="E19" s="44"/>
      <c r="F19" s="56"/>
      <c r="G19" s="94" t="s">
        <v>75</v>
      </c>
      <c r="H19" s="105" t="str">
        <f>IF(T67=1,"Valora","Pagos Oportunos")</f>
        <v>Valora</v>
      </c>
      <c r="I19" s="102"/>
      <c r="J19" s="52"/>
      <c r="K19" s="52"/>
      <c r="L19" s="80" t="s">
        <v>76</v>
      </c>
      <c r="M19" s="52"/>
      <c r="N19" s="52"/>
      <c r="O19" s="52"/>
      <c r="P19" s="87"/>
      <c r="Q19" s="139"/>
      <c r="S19" s="592"/>
      <c r="T19" s="592"/>
      <c r="U19" s="592"/>
      <c r="V19" s="592" t="s">
        <v>101</v>
      </c>
      <c r="W19" s="603">
        <f>T20</f>
        <v>0.1025</v>
      </c>
      <c r="X19" s="592"/>
      <c r="Y19" s="592"/>
      <c r="Z19" s="592"/>
      <c r="AA19" s="592"/>
      <c r="AD19" s="574" t="s">
        <v>118</v>
      </c>
      <c r="AE19" s="584">
        <f>_xlfn.IFERROR((AE10+AE17)/AE4,0)</f>
        <v>0</v>
      </c>
      <c r="AF19" s="583">
        <f>(IF(SUM($O$24:$O$30)=0,0,SUM($O$24:$O$30)-$D$35-$D$41-$D$37-$D$43-$AE$10))/(1-$V$38)</f>
        <v>0</v>
      </c>
      <c r="AG19" s="581"/>
      <c r="AH19" s="233"/>
    </row>
    <row r="20" spans="2:34" ht="15" customHeight="1" thickBot="1">
      <c r="B20" s="138"/>
      <c r="C20" s="56"/>
      <c r="D20" s="56"/>
      <c r="E20" s="56"/>
      <c r="F20" s="56"/>
      <c r="G20" s="94" t="s">
        <v>5</v>
      </c>
      <c r="H20" s="517" t="str">
        <f>_xlfn.IFERROR(INDEX($S$62:$S$65,$T$61),"")</f>
        <v>20 años</v>
      </c>
      <c r="I20" s="56"/>
      <c r="J20" s="52"/>
      <c r="K20" s="52"/>
      <c r="L20" s="52"/>
      <c r="M20" s="95">
        <f>_xlfn.IFERROR(IF(O24=0,0,I25/O24),0)</f>
        <v>0</v>
      </c>
      <c r="N20" s="52"/>
      <c r="O20" s="52"/>
      <c r="P20" s="87"/>
      <c r="Q20" s="139"/>
      <c r="S20" s="592" t="s">
        <v>102</v>
      </c>
      <c r="T20" s="604">
        <v>0.1025</v>
      </c>
      <c r="U20" s="592"/>
      <c r="V20" s="595" t="s">
        <v>36</v>
      </c>
      <c r="W20" s="596">
        <v>1</v>
      </c>
      <c r="X20" s="596">
        <v>2</v>
      </c>
      <c r="Y20" s="596">
        <v>3</v>
      </c>
      <c r="Z20" s="596">
        <v>4</v>
      </c>
      <c r="AA20" s="596">
        <v>5</v>
      </c>
      <c r="AD20" s="574" t="s">
        <v>119</v>
      </c>
      <c r="AE20" s="584">
        <f>_xlfn.IFERROR((AE10+AE17+AE11)/AE4,0)</f>
        <v>0</v>
      </c>
      <c r="AF20" s="571"/>
      <c r="AG20" s="572"/>
      <c r="AH20" s="487"/>
    </row>
    <row r="21" spans="2:34" ht="15" customHeight="1" thickBot="1">
      <c r="B21" s="138"/>
      <c r="C21" s="148" t="str">
        <f>IF(Y40=1,"Valor de la vivienda",IF(Y40=2,"Ingresos Mensuales","Monto de Crédito"))</f>
        <v>Valor de la vivienda</v>
      </c>
      <c r="D21" s="410"/>
      <c r="E21" s="243"/>
      <c r="F21" s="56"/>
      <c r="G21" s="89"/>
      <c r="H21" s="52"/>
      <c r="I21" s="502"/>
      <c r="J21" s="212"/>
      <c r="K21" s="52"/>
      <c r="L21" s="52"/>
      <c r="M21" s="52"/>
      <c r="N21" s="52"/>
      <c r="O21" s="52"/>
      <c r="P21" s="87"/>
      <c r="Q21" s="139"/>
      <c r="S21" s="592" t="s">
        <v>103</v>
      </c>
      <c r="T21" s="605">
        <f>NPV(T20,W11:AA11)</f>
        <v>0</v>
      </c>
      <c r="U21" s="592"/>
      <c r="V21" s="592" t="s">
        <v>6</v>
      </c>
      <c r="W21" s="598">
        <f>T21</f>
        <v>0</v>
      </c>
      <c r="X21" s="598">
        <f>W26</f>
        <v>0</v>
      </c>
      <c r="Y21" s="598">
        <f>X26</f>
        <v>0</v>
      </c>
      <c r="Z21" s="598">
        <f>Y26</f>
        <v>0</v>
      </c>
      <c r="AA21" s="598">
        <f>Z26</f>
        <v>0</v>
      </c>
      <c r="AD21" s="573"/>
      <c r="AE21" s="570"/>
      <c r="AF21" s="585"/>
      <c r="AG21" s="572"/>
      <c r="AH21" s="233"/>
    </row>
    <row r="22" spans="2:34" ht="15" customHeight="1">
      <c r="B22" s="138"/>
      <c r="C22" s="148" t="s">
        <v>227</v>
      </c>
      <c r="D22" s="81"/>
      <c r="E22" s="243"/>
      <c r="F22" s="56"/>
      <c r="G22" s="89"/>
      <c r="H22" s="52"/>
      <c r="I22" s="501"/>
      <c r="J22" s="212"/>
      <c r="K22" s="52"/>
      <c r="L22" s="52"/>
      <c r="M22" s="52"/>
      <c r="N22" s="52"/>
      <c r="O22" s="52"/>
      <c r="P22" s="87"/>
      <c r="Q22" s="139"/>
      <c r="S22" s="592"/>
      <c r="T22" s="592"/>
      <c r="U22" s="568"/>
      <c r="V22" s="592" t="s">
        <v>93</v>
      </c>
      <c r="W22" s="603">
        <f>W19</f>
        <v>0.1025</v>
      </c>
      <c r="X22" s="603">
        <f>W22</f>
        <v>0.1025</v>
      </c>
      <c r="Y22" s="603">
        <f>X22</f>
        <v>0.1025</v>
      </c>
      <c r="Z22" s="603">
        <f>Y22</f>
        <v>0.1025</v>
      </c>
      <c r="AA22" s="603">
        <f>Z22</f>
        <v>0.1025</v>
      </c>
      <c r="AD22" s="574" t="s">
        <v>120</v>
      </c>
      <c r="AE22" s="586">
        <f>_xlfn.IFERROR(AE11/AE4,0)</f>
        <v>0</v>
      </c>
      <c r="AF22" s="571"/>
      <c r="AG22" s="572"/>
      <c r="AH22" s="233"/>
    </row>
    <row r="23" spans="2:33" ht="15" customHeight="1">
      <c r="B23" s="138"/>
      <c r="C23" s="179">
        <f>IF(D21=0,"",IF(AND($Y$40=1,D21&lt;$AB$38),AD40,IF(D21&lt;$Y$38,AD41,"")))</f>
      </c>
      <c r="D23" s="247"/>
      <c r="F23" s="56"/>
      <c r="G23" s="88"/>
      <c r="H23" s="77" t="s">
        <v>77</v>
      </c>
      <c r="I23" s="504"/>
      <c r="J23" s="52"/>
      <c r="K23" s="52"/>
      <c r="L23" s="77" t="s">
        <v>78</v>
      </c>
      <c r="M23" s="52"/>
      <c r="N23" s="52"/>
      <c r="O23" s="52"/>
      <c r="P23" s="52"/>
      <c r="Q23" s="241"/>
      <c r="S23" s="592"/>
      <c r="T23" s="606">
        <f>IF(T8=0,0,T21/T8)</f>
        <v>0</v>
      </c>
      <c r="U23" s="607"/>
      <c r="V23" s="592" t="s">
        <v>104</v>
      </c>
      <c r="W23" s="598">
        <f>W11</f>
        <v>0</v>
      </c>
      <c r="X23" s="598">
        <f>X11</f>
        <v>0</v>
      </c>
      <c r="Y23" s="598">
        <f>Y11</f>
        <v>0</v>
      </c>
      <c r="Z23" s="598">
        <f>Z11</f>
        <v>0</v>
      </c>
      <c r="AA23" s="598">
        <f>AA11</f>
        <v>0</v>
      </c>
      <c r="AD23" s="574" t="s">
        <v>121</v>
      </c>
      <c r="AE23" s="586">
        <f>X34</f>
        <v>0.95</v>
      </c>
      <c r="AF23" s="571"/>
      <c r="AG23" s="572"/>
    </row>
    <row r="24" spans="2:33" ht="16.5" customHeight="1" thickBot="1">
      <c r="B24" s="138"/>
      <c r="C24" s="80">
        <f>IF(OR(U38=2,U38=5),"Sueldo cotización (Apoyo Infonavit)","")</f>
      </c>
      <c r="D24" s="81"/>
      <c r="E24" s="243"/>
      <c r="F24" s="56"/>
      <c r="G24" s="86" t="s">
        <v>308</v>
      </c>
      <c r="I24" s="101">
        <f>IF(AC85="",AD38,AC85)</f>
        <v>0</v>
      </c>
      <c r="K24" s="96" t="s">
        <v>79</v>
      </c>
      <c r="O24" s="104">
        <f>AA85</f>
        <v>0</v>
      </c>
      <c r="Q24" s="241"/>
      <c r="R24" s="125"/>
      <c r="S24" s="592"/>
      <c r="T24" s="608" t="s">
        <v>105</v>
      </c>
      <c r="U24" s="568"/>
      <c r="V24" s="609" t="s">
        <v>43</v>
      </c>
      <c r="W24" s="598">
        <f>W21*W22</f>
        <v>0</v>
      </c>
      <c r="X24" s="598">
        <f>X21*X22</f>
        <v>0</v>
      </c>
      <c r="Y24" s="598">
        <f>Y21*Y22</f>
        <v>0</v>
      </c>
      <c r="Z24" s="598">
        <f>Z21*Z22</f>
        <v>0</v>
      </c>
      <c r="AA24" s="598">
        <f>AA21*AA22</f>
        <v>0</v>
      </c>
      <c r="AD24" s="574" t="s">
        <v>122</v>
      </c>
      <c r="AE24" s="570">
        <f>AE23*AE4</f>
        <v>0</v>
      </c>
      <c r="AF24" s="571"/>
      <c r="AG24" s="572"/>
    </row>
    <row r="25" spans="2:33" ht="17.25" customHeight="1" thickBot="1">
      <c r="B25" s="138"/>
      <c r="D25" s="56"/>
      <c r="E25" s="56"/>
      <c r="F25" s="56"/>
      <c r="G25" s="232" t="s">
        <v>168</v>
      </c>
      <c r="H25" s="149"/>
      <c r="I25" s="175">
        <f>I24</f>
        <v>0</v>
      </c>
      <c r="J25" s="242">
        <f>IF(D21="","",IF(AND(Y40=3,I24&gt;AD43),"El crédito solicitado debe ser igual al máximo",IF(AND(Z29=1,Z30=1),"Línea máxima a otorgar puede ser menor por perfil del cliente","")))</f>
      </c>
      <c r="K25" s="500"/>
      <c r="L25" s="500"/>
      <c r="M25" s="500"/>
      <c r="N25" s="500"/>
      <c r="P25" s="52"/>
      <c r="Q25" s="241"/>
      <c r="R25" s="3"/>
      <c r="S25" s="592"/>
      <c r="T25" s="568"/>
      <c r="U25" s="568"/>
      <c r="V25" s="609" t="s">
        <v>9</v>
      </c>
      <c r="W25" s="598">
        <f>W21-W26</f>
        <v>0</v>
      </c>
      <c r="X25" s="598">
        <f>X21-X26</f>
        <v>0</v>
      </c>
      <c r="Y25" s="598">
        <f>Y21-Y26</f>
        <v>0</v>
      </c>
      <c r="Z25" s="598">
        <f>Z21-Z26</f>
        <v>0</v>
      </c>
      <c r="AA25" s="598">
        <f>AA21-AA26</f>
        <v>0</v>
      </c>
      <c r="AD25" s="574" t="s">
        <v>123</v>
      </c>
      <c r="AE25" s="587">
        <f>IF(AE23+AE22&gt;100%,AE23+AE22-100%,0%)</f>
        <v>0</v>
      </c>
      <c r="AF25" s="571"/>
      <c r="AG25" s="572"/>
    </row>
    <row r="26" spans="2:33" ht="15" customHeight="1">
      <c r="B26" s="138"/>
      <c r="C26" s="407" t="s">
        <v>304</v>
      </c>
      <c r="D26" s="56"/>
      <c r="E26" s="56"/>
      <c r="F26" s="56"/>
      <c r="G26" s="717">
        <f>IF(I25=0,"",IF(I25&gt;I24,$AD$42,IF(I25&lt;Z38,"Crédito debajo del mínimo","")))</f>
      </c>
      <c r="H26" s="718"/>
      <c r="I26" s="104">
        <f>IF(I25=0,"",IF($I$25&lt;$Z$38,$Z$38,""))</f>
      </c>
      <c r="K26" s="52">
        <f>IF($U$38=3,"Infonavit gastos de originación","")</f>
      </c>
      <c r="L26" s="52"/>
      <c r="M26" s="52"/>
      <c r="N26" s="99">
        <f>IF($U$38=3,5%,"")</f>
      </c>
      <c r="O26" s="104">
        <f>IF($U$38=3,I30*$AE$63,"")</f>
      </c>
      <c r="Q26" s="241"/>
      <c r="R26" s="227"/>
      <c r="S26" s="592"/>
      <c r="T26" s="592"/>
      <c r="U26" s="592"/>
      <c r="V26" s="592" t="s">
        <v>10</v>
      </c>
      <c r="W26" s="598">
        <f>W21+W24-W23</f>
        <v>0</v>
      </c>
      <c r="X26" s="598">
        <f>X21+X24-X23</f>
        <v>0</v>
      </c>
      <c r="Y26" s="598">
        <f>Y21+Y24-Y23</f>
        <v>0</v>
      </c>
      <c r="Z26" s="598">
        <f>Z21+Z24-Z23</f>
        <v>0</v>
      </c>
      <c r="AA26" s="598">
        <f>AA21+AA24-AA23</f>
        <v>0</v>
      </c>
      <c r="AD26" s="574" t="s">
        <v>124</v>
      </c>
      <c r="AE26" s="570">
        <f>AE24-(AE25*AE4)</f>
        <v>0</v>
      </c>
      <c r="AF26" s="571"/>
      <c r="AG26" s="572"/>
    </row>
    <row r="27" spans="2:33" ht="15" customHeight="1">
      <c r="B27" s="138"/>
      <c r="C27" s="407" t="s">
        <v>72</v>
      </c>
      <c r="D27" s="56"/>
      <c r="E27" s="56"/>
      <c r="F27" s="56"/>
      <c r="G27" s="719"/>
      <c r="H27" s="720"/>
      <c r="I27" s="720"/>
      <c r="J27" s="101"/>
      <c r="K27" s="52" t="str">
        <f>IF($U$38=3,"Infonavit impuestos y derechos","Impuestos y derechos")</f>
        <v>Impuestos y derechos</v>
      </c>
      <c r="L27" s="52"/>
      <c r="M27" s="262"/>
      <c r="N27" s="263">
        <f>_xlfn.IFERROR(IF(M27="",O27/O$24,""),0)</f>
        <v>0</v>
      </c>
      <c r="O27" s="131">
        <f>_xlfn.IFERROR(IF(AND(OR($U$38=3),L46&gt;0),L46-O26,IF(M27="",O24*$AE$64,O24*M27)),0)</f>
        <v>0</v>
      </c>
      <c r="P27" s="52"/>
      <c r="Q27" s="241"/>
      <c r="R27" s="227"/>
      <c r="S27" s="573"/>
      <c r="T27" s="573"/>
      <c r="U27" s="573"/>
      <c r="V27" s="573"/>
      <c r="W27" s="573"/>
      <c r="X27" s="573"/>
      <c r="Y27" s="573"/>
      <c r="Z27" s="573"/>
      <c r="AA27" s="573"/>
      <c r="AD27" s="573"/>
      <c r="AE27" s="588"/>
      <c r="AF27" s="571"/>
      <c r="AG27" s="572"/>
    </row>
    <row r="28" spans="2:33" ht="15" customHeight="1">
      <c r="B28" s="138"/>
      <c r="C28" s="407" t="s">
        <v>70</v>
      </c>
      <c r="D28" s="58"/>
      <c r="E28" s="58"/>
      <c r="F28" s="56"/>
      <c r="G28" s="86"/>
      <c r="H28" s="149"/>
      <c r="I28" s="245"/>
      <c r="J28" s="101"/>
      <c r="K28" s="52" t="s">
        <v>167</v>
      </c>
      <c r="L28" s="52"/>
      <c r="M28" s="262"/>
      <c r="N28" s="263">
        <f>_xlfn.IFERROR(IF(M28="",O28/O$24,""),0)</f>
        <v>0</v>
      </c>
      <c r="O28" s="131">
        <f>_xlfn.IFERROR(IF(M28="",O24*$AE$65,O24*M28),0)</f>
        <v>0</v>
      </c>
      <c r="P28" s="87"/>
      <c r="Q28" s="139"/>
      <c r="R28" s="213"/>
      <c r="T28" s="197" t="s">
        <v>268</v>
      </c>
      <c r="U28" s="199"/>
      <c r="W28" s="489" t="s">
        <v>305</v>
      </c>
      <c r="X28" s="490"/>
      <c r="Y28" s="613"/>
      <c r="Z28" s="401" t="s">
        <v>450</v>
      </c>
      <c r="AD28" s="574" t="s">
        <v>144</v>
      </c>
      <c r="AE28" s="570">
        <v>2</v>
      </c>
      <c r="AF28" s="572"/>
      <c r="AG28" s="572"/>
    </row>
    <row r="29" spans="2:27" ht="15" customHeight="1">
      <c r="B29" s="138"/>
      <c r="C29" s="407" t="s">
        <v>73</v>
      </c>
      <c r="D29" s="58"/>
      <c r="E29" s="58"/>
      <c r="F29" s="56"/>
      <c r="G29" s="86">
        <f>IF(U38&lt;&gt;3,"","Subcuenta vivienda")</f>
      </c>
      <c r="H29" s="149"/>
      <c r="I29" s="101">
        <f>IF(U38=3,D35+D41,"")</f>
      </c>
      <c r="J29" s="52"/>
      <c r="K29" s="52"/>
      <c r="L29" s="52"/>
      <c r="M29" s="52"/>
      <c r="N29" s="52"/>
      <c r="O29" s="104"/>
      <c r="P29" s="87"/>
      <c r="Q29" s="153"/>
      <c r="R29" s="49"/>
      <c r="T29" s="405" t="s">
        <v>266</v>
      </c>
      <c r="U29" s="411">
        <v>2</v>
      </c>
      <c r="W29" s="491" t="s">
        <v>306</v>
      </c>
      <c r="X29" s="671">
        <v>1</v>
      </c>
      <c r="Y29" s="612"/>
      <c r="Z29" s="672">
        <f>+IF(OR(U38=1,U38=4,U38=6),1,0)</f>
        <v>1</v>
      </c>
      <c r="AA29" s="49" t="s">
        <v>451</v>
      </c>
    </row>
    <row r="30" spans="2:27" ht="15" customHeight="1" thickBot="1">
      <c r="B30" s="138"/>
      <c r="C30" s="148" t="s">
        <v>133</v>
      </c>
      <c r="D30" s="204"/>
      <c r="E30" s="149"/>
      <c r="F30" s="56"/>
      <c r="G30" s="86">
        <f>IF(U38=3,"Crédito Infonavit","")</f>
      </c>
      <c r="H30" s="60"/>
      <c r="I30" s="104">
        <f>IF($U$38=3,D37+D43,"")</f>
      </c>
      <c r="J30" s="101"/>
      <c r="K30" s="52"/>
      <c r="L30" s="52" t="s">
        <v>84</v>
      </c>
      <c r="M30" s="512">
        <f>IF(O24&gt;$T$110,"'Favor de Cotizar'. Val. apróx.","")</f>
      </c>
      <c r="N30" s="52"/>
      <c r="O30" s="104">
        <f>_xlfn.IFERROR(IF(OR(U38=4,U38=5),VLOOKUP(O24,$S$90:$V$111,4),VLOOKUP(O24,$S$90:$U$111,3)),0)</f>
        <v>0</v>
      </c>
      <c r="P30" s="87"/>
      <c r="Q30" s="154"/>
      <c r="R30" s="226"/>
      <c r="T30" s="405" t="s">
        <v>267</v>
      </c>
      <c r="U30" s="406"/>
      <c r="W30" s="491" t="str">
        <f>IF(OR(U38=2,U38=3,U38=5),"","Independiente")</f>
        <v>Independiente</v>
      </c>
      <c r="X30" s="492"/>
      <c r="Y30" s="612"/>
      <c r="Z30" s="672">
        <f>+IF(T67=2,1,IF(AND(T67=1,T71&gt;3),1,0))</f>
        <v>0</v>
      </c>
      <c r="AA30" s="49" t="s">
        <v>452</v>
      </c>
    </row>
    <row r="31" spans="2:31" ht="14.25" customHeight="1" thickTop="1">
      <c r="B31" s="138"/>
      <c r="D31" s="56"/>
      <c r="E31" s="56"/>
      <c r="F31" s="56"/>
      <c r="G31" s="86"/>
      <c r="H31" s="52"/>
      <c r="J31" s="101"/>
      <c r="K31" s="52"/>
      <c r="L31" s="52" t="s">
        <v>15</v>
      </c>
      <c r="M31" s="52"/>
      <c r="N31" s="52"/>
      <c r="O31" s="104">
        <f>_xlfn.IFERROR(IF(T40=2,0,I25*V38),0)</f>
        <v>0</v>
      </c>
      <c r="P31" s="87"/>
      <c r="Q31" s="154"/>
      <c r="R31" s="226"/>
      <c r="S31" s="316"/>
      <c r="T31" s="317" t="s">
        <v>185</v>
      </c>
      <c r="U31" s="318"/>
      <c r="V31" s="177" t="s">
        <v>170</v>
      </c>
      <c r="W31" s="177" t="s">
        <v>171</v>
      </c>
      <c r="X31" s="177" t="s">
        <v>35</v>
      </c>
      <c r="Y31" s="176" t="s">
        <v>139</v>
      </c>
      <c r="Z31" s="177" t="s">
        <v>140</v>
      </c>
      <c r="AA31" s="177" t="s">
        <v>141</v>
      </c>
      <c r="AB31" s="177" t="s">
        <v>142</v>
      </c>
      <c r="AC31" s="694" t="s">
        <v>159</v>
      </c>
      <c r="AD31" s="177" t="s">
        <v>172</v>
      </c>
      <c r="AE31" s="101"/>
    </row>
    <row r="32" spans="2:31" ht="14.25" customHeight="1">
      <c r="B32" s="138"/>
      <c r="C32" s="408" t="s">
        <v>265</v>
      </c>
      <c r="D32" s="56"/>
      <c r="E32" s="56"/>
      <c r="F32" s="56"/>
      <c r="G32" s="180"/>
      <c r="H32" s="56"/>
      <c r="I32" s="56"/>
      <c r="J32" s="101"/>
      <c r="P32" s="87"/>
      <c r="Q32" s="154"/>
      <c r="R32" s="49"/>
      <c r="S32" s="319">
        <v>1</v>
      </c>
      <c r="T32" s="318" t="s">
        <v>64</v>
      </c>
      <c r="U32" s="318"/>
      <c r="V32" s="206">
        <v>0.0125</v>
      </c>
      <c r="W32" s="181">
        <v>0.03</v>
      </c>
      <c r="X32" s="459">
        <f>IF($X$29=1,AH47,AI47)</f>
        <v>0.95</v>
      </c>
      <c r="Y32" s="178">
        <v>10000</v>
      </c>
      <c r="Z32" s="178">
        <v>250000</v>
      </c>
      <c r="AA32" s="178">
        <v>15000000</v>
      </c>
      <c r="AB32" s="178">
        <v>400000</v>
      </c>
      <c r="AC32" s="695">
        <v>0.55</v>
      </c>
      <c r="AD32" s="369">
        <f>$W$85</f>
        <v>0</v>
      </c>
      <c r="AE32" s="49" t="s">
        <v>225</v>
      </c>
    </row>
    <row r="33" spans="2:31" ht="17.25" customHeight="1">
      <c r="B33" s="138"/>
      <c r="C33" s="56" t="s">
        <v>228</v>
      </c>
      <c r="D33" s="402"/>
      <c r="E33" s="56"/>
      <c r="F33" s="56"/>
      <c r="G33" s="205" t="str">
        <f>IF(U38=3,"Recursos Totales:","Crédito Banco")</f>
        <v>Crédito Banco</v>
      </c>
      <c r="H33" s="26"/>
      <c r="I33" s="238">
        <f>IF(I25&gt;I24,"Crédito solicitado fuera de rango",IF(U38=3,I25+I29+I30,I25))</f>
        <v>0</v>
      </c>
      <c r="J33" s="52"/>
      <c r="K33" s="26"/>
      <c r="L33" s="26" t="s">
        <v>164</v>
      </c>
      <c r="M33" s="52"/>
      <c r="N33" s="52"/>
      <c r="O33" s="248">
        <f>SUM(O26:O31)</f>
        <v>0</v>
      </c>
      <c r="P33" s="87"/>
      <c r="Q33" s="154"/>
      <c r="R33" s="49"/>
      <c r="S33" s="319">
        <v>2</v>
      </c>
      <c r="T33" s="318" t="s">
        <v>65</v>
      </c>
      <c r="U33" s="318"/>
      <c r="V33" s="206">
        <v>0.0075</v>
      </c>
      <c r="W33" s="181">
        <v>0</v>
      </c>
      <c r="X33" s="458">
        <v>0.95</v>
      </c>
      <c r="Y33" s="178">
        <v>7500</v>
      </c>
      <c r="Z33" s="178">
        <v>250000</v>
      </c>
      <c r="AA33" s="178">
        <v>15000000</v>
      </c>
      <c r="AB33" s="178">
        <v>400000</v>
      </c>
      <c r="AC33" s="695">
        <v>0.55</v>
      </c>
      <c r="AD33" s="369">
        <f>$W$85</f>
        <v>0</v>
      </c>
      <c r="AE33" s="49" t="s">
        <v>225</v>
      </c>
    </row>
    <row r="34" spans="2:31" ht="15" customHeight="1">
      <c r="B34" s="138"/>
      <c r="C34" s="155">
        <f>IF(U38=3,"Cofinanciamientos (datos del titular)","")</f>
      </c>
      <c r="D34" s="488"/>
      <c r="E34" s="56"/>
      <c r="F34" s="56"/>
      <c r="G34" s="244">
        <f>IF($U$38=3,"Crédito SB + Crédito Infonavit + SSV al frente .    Nota: El crédito de SB considera los gastos de originación del Infonavit","")</f>
      </c>
      <c r="H34" s="239"/>
      <c r="I34" s="240"/>
      <c r="J34" s="101"/>
      <c r="K34" s="246"/>
      <c r="L34" s="52"/>
      <c r="M34" s="52"/>
      <c r="N34" s="52"/>
      <c r="O34" s="52"/>
      <c r="P34" s="87"/>
      <c r="Q34" s="154"/>
      <c r="R34" s="49"/>
      <c r="S34" s="319">
        <v>3</v>
      </c>
      <c r="T34" s="318" t="s">
        <v>66</v>
      </c>
      <c r="U34" s="320"/>
      <c r="V34" s="206">
        <v>0.0075</v>
      </c>
      <c r="W34" s="181">
        <v>0</v>
      </c>
      <c r="X34" s="458">
        <v>0.95</v>
      </c>
      <c r="Y34" s="178">
        <v>7500</v>
      </c>
      <c r="Z34" s="178">
        <v>120000</v>
      </c>
      <c r="AA34" s="178">
        <v>15000000</v>
      </c>
      <c r="AB34" s="178">
        <v>300000</v>
      </c>
      <c r="AC34" s="695">
        <v>0.55</v>
      </c>
      <c r="AD34" s="369">
        <f>_xlfn.IFERROR($AE$10+$AE$17,0)</f>
        <v>0</v>
      </c>
      <c r="AE34" s="49" t="s">
        <v>225</v>
      </c>
    </row>
    <row r="35" spans="2:31" ht="15" customHeight="1">
      <c r="B35" s="138"/>
      <c r="C35" s="54">
        <f>IF(U38=3,"Subcuenta de vivienda","")</f>
      </c>
      <c r="D35" s="81"/>
      <c r="E35" s="243"/>
      <c r="F35" s="56"/>
      <c r="G35" s="244"/>
      <c r="H35" s="99"/>
      <c r="M35" s="52"/>
      <c r="N35" s="52"/>
      <c r="O35" s="52"/>
      <c r="P35" s="87"/>
      <c r="Q35" s="154"/>
      <c r="R35" s="133"/>
      <c r="S35" s="319">
        <v>4</v>
      </c>
      <c r="T35" s="318" t="s">
        <v>136</v>
      </c>
      <c r="U35" s="318"/>
      <c r="V35" s="323">
        <v>0.015</v>
      </c>
      <c r="W35" s="181">
        <v>0.03</v>
      </c>
      <c r="X35" s="459">
        <f>IF($X$29=1,AH47,AI47)</f>
        <v>0.95</v>
      </c>
      <c r="Y35" s="178">
        <v>10000</v>
      </c>
      <c r="Z35" s="178">
        <v>0</v>
      </c>
      <c r="AA35" s="178">
        <v>15000000</v>
      </c>
      <c r="AB35" s="178">
        <v>0</v>
      </c>
      <c r="AC35" s="696">
        <v>0.6</v>
      </c>
      <c r="AD35" s="369">
        <f>$W$85</f>
        <v>0</v>
      </c>
      <c r="AE35" s="49" t="s">
        <v>225</v>
      </c>
    </row>
    <row r="36" spans="2:31" ht="15" customHeight="1">
      <c r="B36" s="138"/>
      <c r="C36" s="54"/>
      <c r="D36" s="243"/>
      <c r="E36" s="243"/>
      <c r="F36" s="56"/>
      <c r="G36" s="88"/>
      <c r="H36" s="132"/>
      <c r="I36" s="26" t="str">
        <f>_xlfn.IFERROR(IF($U$38=6,"",IF(OR(U38=4,U38=5),"Desembolso",IF(I33-O24&gt;0,"Monto Remanente","Enganche para la compra"))),0)</f>
        <v>Enganche para la compra</v>
      </c>
      <c r="J36" s="101"/>
      <c r="K36" s="52"/>
      <c r="L36" s="100">
        <f>_xlfn.IFERROR(IF($U$38=6,"",$O$24-$I$33),0)</f>
        <v>0</v>
      </c>
      <c r="M36" s="52">
        <f>IF(L36&lt;0,"negativo significa remanente para el cliente","")</f>
      </c>
      <c r="O36" s="52"/>
      <c r="P36" s="87"/>
      <c r="Q36" s="154"/>
      <c r="R36" s="49"/>
      <c r="S36" s="319">
        <v>5</v>
      </c>
      <c r="T36" s="318" t="s">
        <v>316</v>
      </c>
      <c r="U36" s="318"/>
      <c r="V36" s="323">
        <v>0.015</v>
      </c>
      <c r="W36" s="181">
        <v>0.03</v>
      </c>
      <c r="X36" s="459">
        <v>0.95</v>
      </c>
      <c r="Y36" s="178">
        <v>10000</v>
      </c>
      <c r="Z36" s="178">
        <v>0</v>
      </c>
      <c r="AA36" s="178">
        <v>15000000</v>
      </c>
      <c r="AB36" s="178">
        <v>0</v>
      </c>
      <c r="AC36" s="696">
        <v>0.65</v>
      </c>
      <c r="AD36" s="369">
        <f>$W$85</f>
        <v>0</v>
      </c>
      <c r="AE36" s="49" t="s">
        <v>225</v>
      </c>
    </row>
    <row r="37" spans="2:31" ht="15" customHeight="1">
      <c r="B37" s="138"/>
      <c r="C37" s="54">
        <f>IF(U38=3,"Crédito","")</f>
      </c>
      <c r="D37" s="81"/>
      <c r="E37" s="243"/>
      <c r="F37" s="56"/>
      <c r="G37" s="88"/>
      <c r="H37" s="132"/>
      <c r="I37" s="26" t="s">
        <v>164</v>
      </c>
      <c r="J37" s="101"/>
      <c r="K37" s="52"/>
      <c r="L37" s="233">
        <f>O33</f>
        <v>0</v>
      </c>
      <c r="M37" s="52"/>
      <c r="N37" s="52"/>
      <c r="O37" s="52"/>
      <c r="P37" s="87"/>
      <c r="Q37" s="154"/>
      <c r="S37" s="319">
        <v>6</v>
      </c>
      <c r="T37" s="318" t="s">
        <v>340</v>
      </c>
      <c r="U37" s="318"/>
      <c r="V37" s="206">
        <v>0.0125</v>
      </c>
      <c r="W37" s="181">
        <v>0.03</v>
      </c>
      <c r="X37" s="181">
        <f>IF($X$29=1,AH47,AI47)</f>
        <v>0.95</v>
      </c>
      <c r="Y37" s="178">
        <v>20000</v>
      </c>
      <c r="Z37" s="178">
        <v>150000</v>
      </c>
      <c r="AA37" s="178">
        <v>2500000</v>
      </c>
      <c r="AB37" s="178">
        <v>1000000</v>
      </c>
      <c r="AC37" s="697">
        <v>0.55</v>
      </c>
      <c r="AD37" s="369">
        <f>$W$85</f>
        <v>0</v>
      </c>
      <c r="AE37" s="49" t="s">
        <v>226</v>
      </c>
    </row>
    <row r="38" spans="2:38" ht="15" customHeight="1" thickBot="1">
      <c r="B38" s="138"/>
      <c r="C38" s="55"/>
      <c r="D38" s="55"/>
      <c r="E38" s="191"/>
      <c r="F38" s="56"/>
      <c r="G38" s="205"/>
      <c r="I38" s="52" t="s">
        <v>165</v>
      </c>
      <c r="J38" s="101"/>
      <c r="K38" s="52"/>
      <c r="L38" s="249">
        <f>IF($U$38=6,L37,L36+L37)</f>
        <v>0</v>
      </c>
      <c r="M38" s="52"/>
      <c r="N38" s="229"/>
      <c r="O38" s="234"/>
      <c r="P38" s="87"/>
      <c r="Q38" s="154"/>
      <c r="S38" s="316"/>
      <c r="T38" s="321" t="s">
        <v>148</v>
      </c>
      <c r="U38" s="322">
        <v>1</v>
      </c>
      <c r="V38" s="207">
        <f>_xlfn.IFERROR(IF($D$33&lt;&gt;"",$D$33,VLOOKUP($U38,$S$32:$AC$37,4,0)),0)</f>
        <v>0.0125</v>
      </c>
      <c r="W38" s="208">
        <f>_xlfn.IFERROR(VLOOKUP($U38,$S$32:$AC$37,5,0),0)</f>
        <v>0.03</v>
      </c>
      <c r="X38" s="208">
        <f>_xlfn.IFERROR(VLOOKUP($U38,$S$32:$AB$37,6,0),0)</f>
        <v>0.95</v>
      </c>
      <c r="Y38" s="209">
        <f>_xlfn.IFERROR(VLOOKUP($U38,$S$32:$AB$37,7,0),0)</f>
        <v>10000</v>
      </c>
      <c r="Z38" s="209">
        <f>_xlfn.IFERROR(VLOOKUP($U38,$S$32:$AB$37,8,0),0)</f>
        <v>250000</v>
      </c>
      <c r="AA38" s="209">
        <f>_xlfn.IFERROR(VLOOKUP($U38,$S$32:$AB$37,9,0),0)</f>
        <v>15000000</v>
      </c>
      <c r="AB38" s="209">
        <f>_xlfn.IFERROR(VLOOKUP($U38,$S$32:$AB$37,10,0),0)</f>
        <v>400000</v>
      </c>
      <c r="AC38" s="698">
        <f>_xlfn.IFERROR(VLOOKUP($U38,$S$32:$AC$37,11,0),0)</f>
        <v>0.55</v>
      </c>
      <c r="AD38" s="209">
        <f>_xlfn.IFERROR(VLOOKUP($U38,$S$32:$AD$37,12,0),0)</f>
        <v>0</v>
      </c>
      <c r="AI38" s="1" t="s">
        <v>307</v>
      </c>
      <c r="AJ38" s="2">
        <f>VLOOKUP($T$61,$AI$39:$AL$42,2,0)</f>
        <v>94971.4475657143</v>
      </c>
      <c r="AK38" s="2">
        <f>VLOOKUP($T$61,$AI$39:$AL$42,3,0)</f>
        <v>104650.00130812499</v>
      </c>
      <c r="AL38" s="2">
        <f>VLOOKUP($T$61,$AI$39:$AL$42,4,0)</f>
        <v>123462.8761371429</v>
      </c>
    </row>
    <row r="39" spans="2:38" ht="15" customHeight="1" thickTop="1">
      <c r="B39" s="138"/>
      <c r="C39" s="56"/>
      <c r="D39" s="56"/>
      <c r="E39" s="56"/>
      <c r="F39" s="56"/>
      <c r="G39" s="658" t="s">
        <v>135</v>
      </c>
      <c r="H39" s="56"/>
      <c r="I39" s="659">
        <f>'Tabla de amortizacion'!B11</f>
        <v>0</v>
      </c>
      <c r="J39" s="52"/>
      <c r="K39" s="52"/>
      <c r="M39" s="52"/>
      <c r="P39" s="87"/>
      <c r="Q39" s="154"/>
      <c r="T39" s="1"/>
      <c r="V39" s="97"/>
      <c r="Y39" s="98"/>
      <c r="Z39" s="182"/>
      <c r="AI39" s="1">
        <v>1</v>
      </c>
      <c r="AJ39" s="2">
        <v>111500.02230000001</v>
      </c>
      <c r="AK39" s="2">
        <v>144950.0223</v>
      </c>
      <c r="AL39" s="2">
        <v>131300.01641249997</v>
      </c>
    </row>
    <row r="40" spans="2:38" ht="15" customHeight="1">
      <c r="B40" s="138"/>
      <c r="C40" s="155">
        <f>IF(U38=3,"Cofinanciamientos (datos del conyuge, si aplica))","")</f>
      </c>
      <c r="D40" s="56"/>
      <c r="E40" s="56"/>
      <c r="F40" s="56"/>
      <c r="G40" s="89" t="s">
        <v>125</v>
      </c>
      <c r="H40" s="90"/>
      <c r="I40" s="100">
        <f>IF(I25&gt;I24,"Crédito solicitado fuera de rango",I25/1000*T83+'Tabla de amortizacion'!T15+'Tabla de amortizacion'!V15)</f>
        <v>0</v>
      </c>
      <c r="J40" s="52"/>
      <c r="K40" s="52"/>
      <c r="N40" s="269" t="s">
        <v>177</v>
      </c>
      <c r="O40" s="52"/>
      <c r="P40" s="87"/>
      <c r="Q40" s="154"/>
      <c r="S40" s="308" t="s">
        <v>145</v>
      </c>
      <c r="T40" s="311">
        <v>1</v>
      </c>
      <c r="U40" s="312"/>
      <c r="V40" s="97"/>
      <c r="W40" s="308" t="s">
        <v>149</v>
      </c>
      <c r="X40" s="309"/>
      <c r="Y40" s="310">
        <v>1</v>
      </c>
      <c r="Z40" s="98"/>
      <c r="AA40" s="98"/>
      <c r="AD40" s="130" t="s">
        <v>143</v>
      </c>
      <c r="AI40" s="1">
        <v>2</v>
      </c>
      <c r="AJ40" s="2">
        <v>136571.4558857143</v>
      </c>
      <c r="AK40" s="2">
        <v>152100.0234</v>
      </c>
      <c r="AL40" s="2">
        <v>177542.88445714288</v>
      </c>
    </row>
    <row r="41" spans="2:38" ht="15" customHeight="1">
      <c r="B41" s="138"/>
      <c r="C41" s="54">
        <f>IF(U38=3,"Subcuenta de vivienda","")</f>
      </c>
      <c r="D41" s="81"/>
      <c r="E41" s="243"/>
      <c r="F41" s="56"/>
      <c r="G41" s="658" t="s">
        <v>42</v>
      </c>
      <c r="H41" s="90"/>
      <c r="I41" s="660">
        <f>T82</f>
        <v>0.1</v>
      </c>
      <c r="J41" s="52"/>
      <c r="K41" s="52"/>
      <c r="N41" s="267" t="s">
        <v>179</v>
      </c>
      <c r="O41" s="52">
        <f>$Z$38</f>
        <v>250000</v>
      </c>
      <c r="P41" s="87"/>
      <c r="Q41" s="154"/>
      <c r="S41" s="184" t="s">
        <v>134</v>
      </c>
      <c r="T41" s="185"/>
      <c r="U41" s="185"/>
      <c r="V41" s="97"/>
      <c r="W41" s="210" t="s">
        <v>22</v>
      </c>
      <c r="X41" s="211"/>
      <c r="Y41" s="210"/>
      <c r="Z41" s="332" t="s">
        <v>188</v>
      </c>
      <c r="AA41" s="330"/>
      <c r="AB41" s="363"/>
      <c r="AD41" s="130" t="s">
        <v>169</v>
      </c>
      <c r="AI41" s="1">
        <v>3</v>
      </c>
      <c r="AJ41" s="2">
        <v>108000.02160000001</v>
      </c>
      <c r="AK41" s="2">
        <v>140400.02160000004</v>
      </c>
      <c r="AL41" s="2">
        <v>140400.02160000004</v>
      </c>
    </row>
    <row r="42" spans="2:38" ht="15" customHeight="1">
      <c r="B42" s="138"/>
      <c r="C42" s="54"/>
      <c r="D42" s="243"/>
      <c r="E42" s="243"/>
      <c r="F42" s="56"/>
      <c r="G42" s="89" t="s">
        <v>127</v>
      </c>
      <c r="H42" s="90"/>
      <c r="I42" s="99">
        <f>T84</f>
        <v>0.021</v>
      </c>
      <c r="J42" s="52"/>
      <c r="K42" s="235"/>
      <c r="N42" s="267" t="s">
        <v>180</v>
      </c>
      <c r="O42" s="52">
        <f>$AB$38</f>
        <v>400000</v>
      </c>
      <c r="P42" s="87"/>
      <c r="Q42" s="154"/>
      <c r="S42" s="184" t="str">
        <f>IF(OR($U$38=2,$U$38=3,$U$38=5),"","Prepago")</f>
        <v>Prepago</v>
      </c>
      <c r="T42" s="185"/>
      <c r="U42" s="185"/>
      <c r="V42" s="97"/>
      <c r="W42" s="210" t="s">
        <v>21</v>
      </c>
      <c r="X42" s="211"/>
      <c r="Y42" s="210"/>
      <c r="Z42" s="331" t="s">
        <v>189</v>
      </c>
      <c r="AA42" s="670">
        <v>0.000556</v>
      </c>
      <c r="AB42" s="669">
        <v>0.000556</v>
      </c>
      <c r="AD42" s="130" t="s">
        <v>166</v>
      </c>
      <c r="AI42" s="1">
        <v>4</v>
      </c>
      <c r="AJ42" s="2">
        <v>94971.4475657143</v>
      </c>
      <c r="AK42" s="2">
        <v>104650.00130812499</v>
      </c>
      <c r="AL42" s="2">
        <v>123462.8761371429</v>
      </c>
    </row>
    <row r="43" spans="2:38" ht="15" customHeight="1">
      <c r="B43" s="138"/>
      <c r="C43" s="54">
        <f>IF(U38=3,"Crédito","")</f>
      </c>
      <c r="D43" s="81"/>
      <c r="E43" s="243"/>
      <c r="F43" s="56"/>
      <c r="G43" s="89" t="s">
        <v>128</v>
      </c>
      <c r="H43" s="90"/>
      <c r="I43" s="100">
        <f>T83</f>
        <v>8.83</v>
      </c>
      <c r="J43" s="52"/>
      <c r="K43" s="235"/>
      <c r="N43" s="267" t="s">
        <v>178</v>
      </c>
      <c r="O43" s="266">
        <f>IF($X$38=0,0,1-$X$38)</f>
        <v>0.050000000000000044</v>
      </c>
      <c r="P43" s="87"/>
      <c r="Q43" s="154"/>
      <c r="S43" s="184"/>
      <c r="T43" s="184"/>
      <c r="U43" s="185"/>
      <c r="V43" s="97"/>
      <c r="W43" s="210" t="s">
        <v>69</v>
      </c>
      <c r="X43" s="211"/>
      <c r="Y43" s="210"/>
      <c r="Z43" s="331" t="s">
        <v>190</v>
      </c>
      <c r="AA43" s="333">
        <v>0.0003016</v>
      </c>
      <c r="AB43" s="364">
        <v>0.0003016</v>
      </c>
      <c r="AD43" s="675">
        <f>IF(T71=5,7000000,15000000)</f>
        <v>15000000</v>
      </c>
      <c r="AE43" s="49" t="s">
        <v>454</v>
      </c>
      <c r="AJ43" s="489">
        <v>5000000</v>
      </c>
      <c r="AK43" s="489">
        <v>6500000</v>
      </c>
      <c r="AL43" s="489">
        <v>8000000</v>
      </c>
    </row>
    <row r="44" spans="2:38" ht="15.75">
      <c r="B44" s="138"/>
      <c r="C44" s="55"/>
      <c r="D44" s="55"/>
      <c r="E44" s="191"/>
      <c r="F44" s="56"/>
      <c r="G44" s="236" t="s">
        <v>126</v>
      </c>
      <c r="H44" s="91"/>
      <c r="I44" s="237">
        <f>IF($T$61=1,AE58,IF($T$61=2,AB58,IF($T$61=3,Y58,IF($T$61=4,V58,0))))</f>
        <v>10000</v>
      </c>
      <c r="J44" s="92"/>
      <c r="K44" s="124"/>
      <c r="L44" s="92"/>
      <c r="M44" s="92"/>
      <c r="N44" s="92"/>
      <c r="O44" s="268">
        <f>IF(U38=3,"Con el cofinanciamiento, puede no requerirse enganche","")</f>
      </c>
      <c r="P44" s="93"/>
      <c r="Q44" s="154"/>
      <c r="V44" s="97"/>
      <c r="AJ44" s="466">
        <v>1</v>
      </c>
      <c r="AK44" s="466">
        <v>2</v>
      </c>
      <c r="AL44" s="466">
        <v>3</v>
      </c>
    </row>
    <row r="45" spans="2:39" ht="14.25">
      <c r="B45" s="138"/>
      <c r="F45" s="56"/>
      <c r="G45" s="148">
        <f>IF($U$38=3,"Cofinavit (Ajustado al 100% de los gastos)","")</f>
      </c>
      <c r="L45" s="150">
        <f>IF($U$38=3,"SI                     NO","")</f>
      </c>
      <c r="P45" s="52"/>
      <c r="Q45" s="154"/>
      <c r="S45" s="324" t="s">
        <v>147</v>
      </c>
      <c r="T45" s="192"/>
      <c r="U45" s="194"/>
      <c r="V45" s="194"/>
      <c r="W45" s="193"/>
      <c r="X45" s="195"/>
      <c r="Y45" s="195"/>
      <c r="Z45" s="195"/>
      <c r="AA45" s="195"/>
      <c r="AB45" s="195"/>
      <c r="AC45" s="195"/>
      <c r="AD45" s="195"/>
      <c r="AE45" s="195"/>
      <c r="AF45" s="195"/>
      <c r="AG45" s="710" t="s">
        <v>300</v>
      </c>
      <c r="AH45" s="711"/>
      <c r="AI45" s="712"/>
      <c r="AJ45" s="707" t="s">
        <v>301</v>
      </c>
      <c r="AK45" s="708"/>
      <c r="AL45" s="709"/>
      <c r="AM45" s="480"/>
    </row>
    <row r="46" spans="2:39" ht="12">
      <c r="B46" s="138"/>
      <c r="F46" s="56"/>
      <c r="G46" s="156">
        <f>IF($U$38=3,"Gastos exactos Infonavit (cuando se tenga el dato exacto)","")</f>
      </c>
      <c r="L46" s="81"/>
      <c r="P46" s="52"/>
      <c r="Q46" s="154"/>
      <c r="S46" s="455" t="s">
        <v>184</v>
      </c>
      <c r="T46" s="192"/>
      <c r="U46" s="451" t="s">
        <v>152</v>
      </c>
      <c r="V46" s="452" t="s">
        <v>82</v>
      </c>
      <c r="W46" s="453" t="s">
        <v>249</v>
      </c>
      <c r="X46" s="451" t="s">
        <v>153</v>
      </c>
      <c r="Y46" s="452" t="s">
        <v>82</v>
      </c>
      <c r="Z46" s="453" t="s">
        <v>249</v>
      </c>
      <c r="AA46" s="451" t="s">
        <v>154</v>
      </c>
      <c r="AB46" s="452" t="s">
        <v>82</v>
      </c>
      <c r="AC46" s="453" t="s">
        <v>249</v>
      </c>
      <c r="AD46" s="454"/>
      <c r="AE46" s="452" t="s">
        <v>458</v>
      </c>
      <c r="AF46" s="452" t="s">
        <v>459</v>
      </c>
      <c r="AG46" s="467" t="s">
        <v>295</v>
      </c>
      <c r="AH46" s="468" t="s">
        <v>296</v>
      </c>
      <c r="AI46" s="469" t="s">
        <v>259</v>
      </c>
      <c r="AJ46" s="477" t="s">
        <v>297</v>
      </c>
      <c r="AK46" s="476" t="s">
        <v>298</v>
      </c>
      <c r="AL46" s="476" t="s">
        <v>299</v>
      </c>
      <c r="AM46" s="481" t="s">
        <v>159</v>
      </c>
    </row>
    <row r="47" spans="2:39" ht="15.75">
      <c r="B47" s="138"/>
      <c r="F47" s="56"/>
      <c r="G47" s="129"/>
      <c r="H47" s="90"/>
      <c r="I47" s="104"/>
      <c r="J47" s="52"/>
      <c r="K47" s="127"/>
      <c r="L47" s="52"/>
      <c r="M47" s="52"/>
      <c r="N47" s="243"/>
      <c r="O47" s="231"/>
      <c r="P47" s="52"/>
      <c r="Q47" s="154"/>
      <c r="S47" s="455" t="s">
        <v>186</v>
      </c>
      <c r="T47" s="192">
        <v>1</v>
      </c>
      <c r="U47" s="655">
        <v>0.09</v>
      </c>
      <c r="V47" s="654">
        <v>8.08</v>
      </c>
      <c r="W47" s="215">
        <v>0.026</v>
      </c>
      <c r="X47" s="655">
        <f aca="true" t="shared" si="0" ref="X47:X52">U47</f>
        <v>0.09</v>
      </c>
      <c r="Y47" s="654">
        <v>9.2</v>
      </c>
      <c r="Z47" s="215">
        <v>0.026</v>
      </c>
      <c r="AA47" s="655">
        <f aca="true" t="shared" si="1" ref="AA47:AA52">U47</f>
        <v>0.09</v>
      </c>
      <c r="AB47" s="654">
        <v>11.71</v>
      </c>
      <c r="AC47" s="215">
        <v>0.026</v>
      </c>
      <c r="AD47" s="219" t="s">
        <v>45</v>
      </c>
      <c r="AE47" s="273">
        <v>16.7</v>
      </c>
      <c r="AF47" s="218">
        <v>16.16</v>
      </c>
      <c r="AG47" s="470">
        <v>0.95</v>
      </c>
      <c r="AH47" s="471">
        <v>0.95</v>
      </c>
      <c r="AI47" s="472">
        <v>0.9</v>
      </c>
      <c r="AJ47" s="470">
        <v>0.8</v>
      </c>
      <c r="AK47" s="471">
        <v>0.8</v>
      </c>
      <c r="AL47" s="472">
        <v>0.65</v>
      </c>
      <c r="AM47" s="478">
        <v>0.55</v>
      </c>
    </row>
    <row r="48" spans="1:39" ht="15.75">
      <c r="A48" s="151"/>
      <c r="B48" s="138"/>
      <c r="C48" s="158"/>
      <c r="D48" s="157"/>
      <c r="E48" s="157"/>
      <c r="F48" s="56"/>
      <c r="G48" s="129"/>
      <c r="H48" s="90"/>
      <c r="I48" s="243"/>
      <c r="J48" s="52"/>
      <c r="K48" s="127"/>
      <c r="L48" s="52"/>
      <c r="M48" s="264"/>
      <c r="N48" s="90"/>
      <c r="O48" s="243"/>
      <c r="P48" s="52"/>
      <c r="Q48" s="154"/>
      <c r="S48" s="455">
        <v>1</v>
      </c>
      <c r="T48" s="192">
        <v>2</v>
      </c>
      <c r="U48" s="655">
        <v>0.095</v>
      </c>
      <c r="V48" s="654">
        <v>8.32</v>
      </c>
      <c r="W48" s="215">
        <v>0.026</v>
      </c>
      <c r="X48" s="655">
        <f t="shared" si="0"/>
        <v>0.095</v>
      </c>
      <c r="Y48" s="654">
        <v>9.46</v>
      </c>
      <c r="Z48" s="215">
        <v>0.026</v>
      </c>
      <c r="AA48" s="655">
        <f t="shared" si="1"/>
        <v>0.095</v>
      </c>
      <c r="AB48" s="654">
        <v>11.97</v>
      </c>
      <c r="AC48" s="215">
        <v>0.026</v>
      </c>
      <c r="AD48" s="219" t="s">
        <v>32</v>
      </c>
      <c r="AE48" s="689">
        <v>13.3</v>
      </c>
      <c r="AF48" s="218">
        <v>12.75</v>
      </c>
      <c r="AG48" s="470">
        <v>0.95</v>
      </c>
      <c r="AH48" s="471">
        <v>0.95</v>
      </c>
      <c r="AI48" s="472">
        <v>0.9</v>
      </c>
      <c r="AJ48" s="470">
        <v>0.8</v>
      </c>
      <c r="AK48" s="471">
        <v>0.8</v>
      </c>
      <c r="AL48" s="472">
        <v>0.65</v>
      </c>
      <c r="AM48" s="478">
        <v>0.55</v>
      </c>
    </row>
    <row r="49" spans="1:39" ht="16.5" thickBot="1">
      <c r="A49" s="151"/>
      <c r="B49" s="138"/>
      <c r="C49" s="230"/>
      <c r="D49" s="231"/>
      <c r="E49" s="231"/>
      <c r="F49" s="56"/>
      <c r="G49" s="129"/>
      <c r="H49" s="90"/>
      <c r="I49" s="243"/>
      <c r="J49" s="52"/>
      <c r="K49" s="127"/>
      <c r="M49" s="265"/>
      <c r="N49" s="52"/>
      <c r="P49" s="52"/>
      <c r="Q49" s="154"/>
      <c r="S49" s="455">
        <v>2</v>
      </c>
      <c r="T49" s="192">
        <v>3</v>
      </c>
      <c r="U49" s="655">
        <v>0.1</v>
      </c>
      <c r="V49" s="654">
        <v>8.83</v>
      </c>
      <c r="W49" s="519">
        <v>0.021</v>
      </c>
      <c r="X49" s="655">
        <f t="shared" si="0"/>
        <v>0.1</v>
      </c>
      <c r="Y49" s="654">
        <v>9.96</v>
      </c>
      <c r="Z49" s="519">
        <v>0.021</v>
      </c>
      <c r="AA49" s="655">
        <f t="shared" si="1"/>
        <v>0.1</v>
      </c>
      <c r="AB49" s="654">
        <v>12.46</v>
      </c>
      <c r="AC49" s="519">
        <v>0.021</v>
      </c>
      <c r="AD49" s="219" t="s">
        <v>33</v>
      </c>
      <c r="AE49" s="689">
        <v>10.81</v>
      </c>
      <c r="AF49" s="218">
        <v>10.23</v>
      </c>
      <c r="AG49" s="470">
        <v>0.95</v>
      </c>
      <c r="AH49" s="471">
        <v>0.9</v>
      </c>
      <c r="AI49" s="472">
        <v>0.9</v>
      </c>
      <c r="AJ49" s="470">
        <v>0.8</v>
      </c>
      <c r="AK49" s="471">
        <v>0.8</v>
      </c>
      <c r="AL49" s="472">
        <v>0.65</v>
      </c>
      <c r="AM49" s="478">
        <v>0.55</v>
      </c>
    </row>
    <row r="50" spans="1:39" ht="12.75">
      <c r="A50" s="151"/>
      <c r="B50" s="159"/>
      <c r="C50" s="116" t="s">
        <v>4</v>
      </c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54"/>
      <c r="R50" s="49"/>
      <c r="S50" s="455">
        <v>3</v>
      </c>
      <c r="T50" s="192">
        <v>4</v>
      </c>
      <c r="U50" s="655">
        <v>0.1025</v>
      </c>
      <c r="V50" s="654">
        <v>9.04</v>
      </c>
      <c r="W50" s="519">
        <v>0.019</v>
      </c>
      <c r="X50" s="655">
        <f t="shared" si="0"/>
        <v>0.1025</v>
      </c>
      <c r="Y50" s="654">
        <v>10.17</v>
      </c>
      <c r="Z50" s="519">
        <v>0.019</v>
      </c>
      <c r="AA50" s="655">
        <f t="shared" si="1"/>
        <v>0.1025</v>
      </c>
      <c r="AB50" s="654">
        <v>12.67</v>
      </c>
      <c r="AC50" s="519">
        <v>0.019</v>
      </c>
      <c r="AD50" s="219" t="s">
        <v>34</v>
      </c>
      <c r="AE50" s="689">
        <v>9.72</v>
      </c>
      <c r="AF50" s="218">
        <v>9.09</v>
      </c>
      <c r="AG50" s="470">
        <v>0.95</v>
      </c>
      <c r="AH50" s="471">
        <v>0.85</v>
      </c>
      <c r="AI50" s="472">
        <v>0.85</v>
      </c>
      <c r="AJ50" s="470">
        <v>0.7</v>
      </c>
      <c r="AK50" s="471">
        <v>0.7</v>
      </c>
      <c r="AL50" s="472">
        <v>0.55</v>
      </c>
      <c r="AM50" s="478">
        <v>0.5</v>
      </c>
    </row>
    <row r="51" spans="1:39" ht="12.75">
      <c r="A51" s="151"/>
      <c r="B51" s="159"/>
      <c r="C51" s="126">
        <f>_xlfn.IFERROR("- Los impuestos y derechos están calculados al "&amp;TEXT(($O$27/$O$24),"#,##0.00%")&amp;" del valor del inmueble, pueden cambiar dependiendo de la entidad federativa.","")</f>
      </c>
      <c r="D51" s="78"/>
      <c r="E51" s="78"/>
      <c r="F51" s="7"/>
      <c r="G51" s="7"/>
      <c r="H51" s="7"/>
      <c r="I51" s="7"/>
      <c r="J51" s="7"/>
      <c r="K51" s="7"/>
      <c r="L51" s="7"/>
      <c r="M51" s="7"/>
      <c r="N51" s="7"/>
      <c r="O51" s="7"/>
      <c r="P51" s="120"/>
      <c r="Q51" s="154"/>
      <c r="R51" s="49"/>
      <c r="S51" s="455">
        <v>4</v>
      </c>
      <c r="T51" s="192">
        <v>5</v>
      </c>
      <c r="U51" s="655">
        <v>0.1075</v>
      </c>
      <c r="V51" s="654">
        <v>9.51</v>
      </c>
      <c r="W51" s="519">
        <v>0.014</v>
      </c>
      <c r="X51" s="655">
        <f t="shared" si="0"/>
        <v>0.1075</v>
      </c>
      <c r="Y51" s="654">
        <v>10.63</v>
      </c>
      <c r="Z51" s="519">
        <v>0.014</v>
      </c>
      <c r="AA51" s="655">
        <f t="shared" si="1"/>
        <v>0.1075</v>
      </c>
      <c r="AB51" s="654">
        <v>13.11</v>
      </c>
      <c r="AC51" s="519">
        <v>0.014</v>
      </c>
      <c r="AD51" s="219"/>
      <c r="AE51" s="220"/>
      <c r="AF51" s="218"/>
      <c r="AG51" s="470">
        <v>0.85</v>
      </c>
      <c r="AH51" s="471">
        <v>0.8</v>
      </c>
      <c r="AI51" s="472">
        <v>0.75</v>
      </c>
      <c r="AJ51" s="470">
        <v>0.65</v>
      </c>
      <c r="AK51" s="471">
        <v>0.55</v>
      </c>
      <c r="AL51" s="472">
        <v>0.55</v>
      </c>
      <c r="AM51" s="478">
        <v>0.45</v>
      </c>
    </row>
    <row r="52" spans="1:39" ht="12.75">
      <c r="A52" s="151"/>
      <c r="B52" s="159"/>
      <c r="C52" s="126">
        <f>_xlfn.IFERROR("- Los honorarios notariales en los créditos en cofinanciamiento están calculados al "&amp;TEXT(($O$28/$O$24),"#,##0.00%")&amp;" del valor del inmueble, pueden variar dependiendo de la entidad federativa.","")</f>
      </c>
      <c r="D52" s="78"/>
      <c r="E52" s="78"/>
      <c r="F52" s="7"/>
      <c r="G52" s="7"/>
      <c r="H52" s="7"/>
      <c r="I52" s="7"/>
      <c r="J52" s="7"/>
      <c r="K52" s="7"/>
      <c r="L52" s="7"/>
      <c r="M52" s="7"/>
      <c r="N52" s="7"/>
      <c r="O52" s="7"/>
      <c r="P52" s="120"/>
      <c r="Q52" s="154"/>
      <c r="R52" s="49"/>
      <c r="S52" s="455" t="s">
        <v>187</v>
      </c>
      <c r="T52" s="192">
        <v>6</v>
      </c>
      <c r="U52" s="655">
        <v>0.11</v>
      </c>
      <c r="V52" s="654">
        <v>9.57</v>
      </c>
      <c r="W52" s="519">
        <v>0.014</v>
      </c>
      <c r="X52" s="655">
        <f t="shared" si="0"/>
        <v>0.11</v>
      </c>
      <c r="Y52" s="654">
        <v>10.68</v>
      </c>
      <c r="Z52" s="519">
        <v>0.014</v>
      </c>
      <c r="AA52" s="655">
        <f t="shared" si="1"/>
        <v>0.11</v>
      </c>
      <c r="AB52" s="654">
        <v>13.2</v>
      </c>
      <c r="AC52" s="519">
        <v>0.014</v>
      </c>
      <c r="AD52" s="691" t="s">
        <v>460</v>
      </c>
      <c r="AE52" s="692">
        <v>0.0995</v>
      </c>
      <c r="AF52" s="693">
        <v>0.09</v>
      </c>
      <c r="AG52" s="470">
        <v>0.8</v>
      </c>
      <c r="AH52" s="471">
        <v>0.7</v>
      </c>
      <c r="AI52" s="472">
        <v>0.5</v>
      </c>
      <c r="AJ52" s="470">
        <v>0.5</v>
      </c>
      <c r="AK52" s="471">
        <v>0.5</v>
      </c>
      <c r="AL52" s="472">
        <v>0.5</v>
      </c>
      <c r="AM52" s="478">
        <v>0.45</v>
      </c>
    </row>
    <row r="53" spans="1:39" ht="12.75">
      <c r="A53" s="151"/>
      <c r="B53" s="159"/>
      <c r="C53" s="121" t="s">
        <v>37</v>
      </c>
      <c r="D53" s="78"/>
      <c r="E53" s="78"/>
      <c r="F53" s="7"/>
      <c r="G53" s="7"/>
      <c r="H53" s="7"/>
      <c r="I53" s="7"/>
      <c r="J53" s="7"/>
      <c r="K53" s="7"/>
      <c r="L53" s="7"/>
      <c r="M53" s="7"/>
      <c r="N53" s="7"/>
      <c r="O53" s="7"/>
      <c r="P53" s="120"/>
      <c r="Q53" s="154"/>
      <c r="R53" s="49"/>
      <c r="S53" s="455"/>
      <c r="T53" s="192"/>
      <c r="U53" s="214"/>
      <c r="V53" s="273"/>
      <c r="W53" s="519"/>
      <c r="X53" s="214"/>
      <c r="Y53" s="273"/>
      <c r="Z53" s="519"/>
      <c r="AA53" s="214"/>
      <c r="AB53" s="273"/>
      <c r="AC53" s="519"/>
      <c r="AD53" s="219"/>
      <c r="AE53" s="220"/>
      <c r="AF53" s="218"/>
      <c r="AG53" s="473"/>
      <c r="AH53" s="474"/>
      <c r="AI53" s="475"/>
      <c r="AJ53" s="473"/>
      <c r="AK53" s="474"/>
      <c r="AL53" s="475"/>
      <c r="AM53" s="479"/>
    </row>
    <row r="54" spans="1:36" ht="12.75">
      <c r="A54" s="152"/>
      <c r="B54" s="159"/>
      <c r="C54" s="121" t="s">
        <v>62</v>
      </c>
      <c r="D54" s="6"/>
      <c r="E54" s="6"/>
      <c r="F54" s="7"/>
      <c r="G54" s="7"/>
      <c r="H54" s="7"/>
      <c r="I54" s="7"/>
      <c r="J54" s="7"/>
      <c r="K54" s="7"/>
      <c r="L54" s="7"/>
      <c r="M54" s="7"/>
      <c r="N54" s="7"/>
      <c r="O54" s="7"/>
      <c r="P54" s="120"/>
      <c r="Q54" s="154"/>
      <c r="R54" s="49"/>
      <c r="S54" s="192"/>
      <c r="T54" s="192"/>
      <c r="U54" s="370" t="s">
        <v>150</v>
      </c>
      <c r="V54" s="371"/>
      <c r="W54" s="372"/>
      <c r="X54" s="370" t="s">
        <v>151</v>
      </c>
      <c r="Y54" s="373"/>
      <c r="Z54" s="374"/>
      <c r="AA54" s="370" t="s">
        <v>155</v>
      </c>
      <c r="AB54" s="375"/>
      <c r="AC54" s="374"/>
      <c r="AD54" s="370" t="s">
        <v>156</v>
      </c>
      <c r="AE54" s="375"/>
      <c r="AF54" s="372"/>
      <c r="AJ54" s="482">
        <f>IF($Y$40=2,IF($D$21&gt;=$AL$38,3,IF($D$21&gt;=$AK$38,2,IF($D$21&gt;=$AJ$38,1,0))),IF($D$21&gt;$AL$43,3,IF($D$21&gt;$AK$43,2,IF($D$21&gt;$AJ$43,1,0))))</f>
        <v>0</v>
      </c>
    </row>
    <row r="55" spans="1:36" ht="12.75">
      <c r="A55" s="151"/>
      <c r="B55" s="159"/>
      <c r="C55" s="122" t="s">
        <v>63</v>
      </c>
      <c r="D55" s="6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120"/>
      <c r="Q55" s="154"/>
      <c r="R55" s="49"/>
      <c r="S55" s="192"/>
      <c r="T55" s="690" t="str">
        <f>+IF(U55=10.25%,"PO mercado abierto","PO pago de pasivos")</f>
        <v>PO pago de pasivos</v>
      </c>
      <c r="U55" s="656">
        <f>+IF(OR($U$38=4,$U$38=5),AF52,AE52)</f>
        <v>0.0995</v>
      </c>
      <c r="V55" s="657">
        <f>+IF(OR($U$38=4,$U$38=5),AF50,AE50)</f>
        <v>9.72</v>
      </c>
      <c r="W55" s="376">
        <v>0</v>
      </c>
      <c r="X55" s="656">
        <f>+IF(OR($U$38=4,$U$38=5),AF52,AE52)</f>
        <v>0.0995</v>
      </c>
      <c r="Y55" s="657">
        <f>+IF(OR($U$38=4,$U$38=5),AF49,AE49)</f>
        <v>10.81</v>
      </c>
      <c r="Z55" s="376">
        <v>0</v>
      </c>
      <c r="AA55" s="656">
        <f>+IF(OR($U$38=4,$U$38=5),AF52,AE52)</f>
        <v>0.0995</v>
      </c>
      <c r="AB55" s="657">
        <f>+IF(OR($U$38=4,$U$38=5),AF48,AE48)</f>
        <v>13.3</v>
      </c>
      <c r="AC55" s="376">
        <v>0</v>
      </c>
      <c r="AD55" s="656">
        <f>+IF(OR($U$38=4,$U$38=5),AF52,AE52)</f>
        <v>0.0995</v>
      </c>
      <c r="AE55" s="657">
        <f>+IF(OR($U$38=4,$U$38=5),AF47,AE47)</f>
        <v>16.7</v>
      </c>
      <c r="AF55" s="376">
        <v>0</v>
      </c>
      <c r="AG55" s="1" t="s">
        <v>462</v>
      </c>
      <c r="AH55" s="1" t="s">
        <v>42</v>
      </c>
      <c r="AI55" s="1" t="s">
        <v>466</v>
      </c>
      <c r="AJ55" s="1" t="s">
        <v>465</v>
      </c>
    </row>
    <row r="56" spans="1:37" ht="12.75">
      <c r="A56" s="151"/>
      <c r="B56" s="159"/>
      <c r="C56" s="121" t="s">
        <v>25</v>
      </c>
      <c r="D56" s="79"/>
      <c r="E56" s="79"/>
      <c r="F56" s="7"/>
      <c r="G56" s="7"/>
      <c r="H56" s="7"/>
      <c r="I56" s="7"/>
      <c r="J56" s="7"/>
      <c r="K56" s="7"/>
      <c r="L56" s="7"/>
      <c r="M56" s="7"/>
      <c r="N56" s="7"/>
      <c r="O56" s="7"/>
      <c r="P56" s="120"/>
      <c r="Q56" s="154"/>
      <c r="R56" s="49"/>
      <c r="S56" s="192"/>
      <c r="T56" s="381" t="s">
        <v>175</v>
      </c>
      <c r="U56" s="377">
        <f>IF(OR($U$38=4,$U$38=5),$AH$56,_xlfn.IFERROR(VLOOKUP($T$71,$T$47:$AC$53,2,0),0))</f>
        <v>0.1</v>
      </c>
      <c r="V56" s="378">
        <f>IF(OR($U$38=4,$U$38=5),$AJ$56,_xlfn.IFERROR(VLOOKUP($T$71,$T$47:$AC$53,3,0),0))</f>
        <v>8.83</v>
      </c>
      <c r="W56" s="379">
        <f>_xlfn.IFERROR(VLOOKUP($T$71,$T$47:$AC$53,4,0),0)</f>
        <v>0.021</v>
      </c>
      <c r="X56" s="377">
        <f>IF(OR($U$38=4,$U$38=5),$AH$56,_xlfn.IFERROR(VLOOKUP($T$71,$T$47:$AC$53,5,0),0))</f>
        <v>0.1</v>
      </c>
      <c r="Y56" s="378">
        <f>IF(OR($U$38=4,$U$38=5),$AJ$57,_xlfn.IFERROR(VLOOKUP($T$71,$T$47:$AC$53,6,0),0))</f>
        <v>9.96</v>
      </c>
      <c r="Z56" s="379">
        <f>_xlfn.IFERROR(VLOOKUP($T$71,$T$47:$AC$53,7,0),0)</f>
        <v>0.021</v>
      </c>
      <c r="AA56" s="377">
        <f>IF(OR($U$38=4,$U$38=5),$AH$56,_xlfn.IFERROR(VLOOKUP($T$71,$T$47:$AC$53,8,0),0))</f>
        <v>0.1</v>
      </c>
      <c r="AB56" s="378">
        <f>IF(OR($U$38=4,$U$38=5),$AJ$58,_xlfn.IFERROR(VLOOKUP($T$71,$T$47:$AC$53,9,0),0))</f>
        <v>12.46</v>
      </c>
      <c r="AC56" s="379">
        <f>_xlfn.IFERROR(VLOOKUP($T$71,$T$47:$AC$53,10,0),0)</f>
        <v>0.021</v>
      </c>
      <c r="AD56" s="377"/>
      <c r="AE56" s="380"/>
      <c r="AF56" s="379"/>
      <c r="AG56" s="699" t="s">
        <v>463</v>
      </c>
      <c r="AH56" s="487">
        <v>0.085</v>
      </c>
      <c r="AI56" s="1">
        <v>20</v>
      </c>
      <c r="AJ56" s="233">
        <v>7.78</v>
      </c>
      <c r="AK56" s="495"/>
    </row>
    <row r="57" spans="1:36" ht="21.75" customHeight="1">
      <c r="A57" s="151"/>
      <c r="B57" s="159"/>
      <c r="C57" s="703" t="s">
        <v>309</v>
      </c>
      <c r="D57" s="704"/>
      <c r="E57" s="704"/>
      <c r="F57" s="704"/>
      <c r="G57" s="704"/>
      <c r="H57" s="704"/>
      <c r="I57" s="704"/>
      <c r="J57" s="704"/>
      <c r="K57" s="704"/>
      <c r="L57" s="704"/>
      <c r="M57" s="704"/>
      <c r="N57" s="704"/>
      <c r="O57" s="704"/>
      <c r="P57" s="120"/>
      <c r="Q57" s="154"/>
      <c r="R57" s="49"/>
      <c r="S57" s="610"/>
      <c r="T57" s="611" t="s">
        <v>181</v>
      </c>
      <c r="U57" s="216"/>
      <c r="V57" s="334">
        <f>V49</f>
        <v>8.83</v>
      </c>
      <c r="W57" s="217"/>
      <c r="X57" s="216"/>
      <c r="Y57" s="334">
        <f>Y49</f>
        <v>9.96</v>
      </c>
      <c r="Z57" s="217"/>
      <c r="AA57" s="216"/>
      <c r="AB57" s="334">
        <f>AB49</f>
        <v>12.46</v>
      </c>
      <c r="AC57" s="217"/>
      <c r="AD57" s="216"/>
      <c r="AE57" s="221"/>
      <c r="AF57" s="217"/>
      <c r="AG57" s="699" t="s">
        <v>464</v>
      </c>
      <c r="AH57" s="487">
        <v>0.105</v>
      </c>
      <c r="AI57" s="1">
        <v>15</v>
      </c>
      <c r="AJ57" s="495">
        <v>8.94</v>
      </c>
    </row>
    <row r="58" spans="1:36" ht="13.5" thickBot="1">
      <c r="A58" s="151"/>
      <c r="B58" s="159"/>
      <c r="C58" s="162" t="s">
        <v>48</v>
      </c>
      <c r="D58" s="163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665" t="s">
        <v>482</v>
      </c>
      <c r="P58" s="165"/>
      <c r="Q58" s="154"/>
      <c r="R58" s="49"/>
      <c r="S58" s="197"/>
      <c r="T58" s="465" t="s">
        <v>302</v>
      </c>
      <c r="U58" s="199"/>
      <c r="V58" s="201">
        <f>_xlfn.IFERROR(IF($T$67=1,AC67,AC72),0)</f>
        <v>10000</v>
      </c>
      <c r="W58" s="199"/>
      <c r="X58" s="199"/>
      <c r="Y58" s="201">
        <f>_xlfn.IFERROR(IF($T$67=1,AB67,AB72),0)</f>
        <v>10000</v>
      </c>
      <c r="Z58" s="196"/>
      <c r="AA58" s="196"/>
      <c r="AB58" s="201">
        <f>_xlfn.IFERROR(IF($T$67=1,AA67,AA72),0)</f>
        <v>10000</v>
      </c>
      <c r="AC58" s="196"/>
      <c r="AD58" s="196"/>
      <c r="AE58" s="201">
        <f>_xlfn.IFERROR(IF($T$67=1,Z67,Z72),0)</f>
        <v>0</v>
      </c>
      <c r="AF58" s="222"/>
      <c r="AI58" s="1">
        <v>10</v>
      </c>
      <c r="AJ58" s="496">
        <v>11.5</v>
      </c>
    </row>
    <row r="59" spans="1:32" ht="13.5" thickBot="1">
      <c r="A59" s="151"/>
      <c r="B59" s="160"/>
      <c r="C59" s="141"/>
      <c r="D59" s="141"/>
      <c r="E59" s="141"/>
      <c r="F59" s="141"/>
      <c r="G59" s="141"/>
      <c r="H59" s="141"/>
      <c r="I59" s="141"/>
      <c r="J59" s="142"/>
      <c r="K59" s="142"/>
      <c r="L59" s="142"/>
      <c r="M59" s="142"/>
      <c r="N59" s="142"/>
      <c r="O59" s="142"/>
      <c r="P59" s="142"/>
      <c r="Q59" s="161"/>
      <c r="R59" s="49"/>
      <c r="AF59" s="190"/>
    </row>
    <row r="60" spans="1:32" ht="15.75">
      <c r="A60" s="151"/>
      <c r="B60" s="135"/>
      <c r="C60" s="166"/>
      <c r="D60" s="167"/>
      <c r="E60" s="167"/>
      <c r="F60" s="135"/>
      <c r="G60" s="135"/>
      <c r="H60" s="168"/>
      <c r="I60" s="169"/>
      <c r="J60" s="136"/>
      <c r="K60" s="170"/>
      <c r="L60" s="136"/>
      <c r="M60" s="136"/>
      <c r="N60" s="136"/>
      <c r="O60" s="171"/>
      <c r="P60" s="136"/>
      <c r="Q60" s="172"/>
      <c r="R60" s="49"/>
      <c r="S60" s="197"/>
      <c r="T60" s="199"/>
      <c r="U60" s="222"/>
      <c r="V60" s="223"/>
      <c r="W60" s="222"/>
      <c r="X60" s="151"/>
      <c r="Y60" s="190"/>
      <c r="Z60" s="183"/>
      <c r="AA60" s="190"/>
      <c r="AB60" s="151"/>
      <c r="AC60" s="190"/>
      <c r="AD60" s="183"/>
      <c r="AE60" s="190"/>
      <c r="AF60" s="183"/>
    </row>
    <row r="61" spans="1:32" ht="15.75">
      <c r="A61" s="151"/>
      <c r="B61" s="56"/>
      <c r="C61" s="56"/>
      <c r="D61" s="157"/>
      <c r="E61" s="157"/>
      <c r="F61" s="56"/>
      <c r="G61" s="56"/>
      <c r="H61" s="90"/>
      <c r="I61" s="99"/>
      <c r="J61" s="52"/>
      <c r="K61" s="127"/>
      <c r="L61" s="52"/>
      <c r="M61" s="52"/>
      <c r="N61" s="52"/>
      <c r="O61" s="128"/>
      <c r="P61" s="52"/>
      <c r="Q61" s="173"/>
      <c r="R61" s="49"/>
      <c r="S61" s="313" t="s">
        <v>5</v>
      </c>
      <c r="T61" s="314">
        <v>4</v>
      </c>
      <c r="U61" s="199"/>
      <c r="V61" s="223"/>
      <c r="W61" s="199"/>
      <c r="X61" s="151"/>
      <c r="Y61" s="183"/>
      <c r="Z61" s="183"/>
      <c r="AA61" s="183"/>
      <c r="AB61" s="151"/>
      <c r="AC61" s="183"/>
      <c r="AD61" s="183"/>
      <c r="AE61" s="200"/>
      <c r="AF61" s="183"/>
    </row>
    <row r="62" spans="1:32" ht="12.75">
      <c r="A62" s="151"/>
      <c r="B62" s="56"/>
      <c r="N62" s="52"/>
      <c r="O62" s="128"/>
      <c r="P62" s="52"/>
      <c r="Q62" s="173"/>
      <c r="R62" s="49"/>
      <c r="S62" s="196">
        <f>IF($T$67=1,"","7 años")</f>
      </c>
      <c r="T62" s="197"/>
      <c r="U62" s="199"/>
      <c r="V62" s="223"/>
      <c r="W62" s="199"/>
      <c r="X62" s="151"/>
      <c r="Y62" s="259" t="s">
        <v>176</v>
      </c>
      <c r="Z62" s="196"/>
      <c r="AA62" s="196"/>
      <c r="AB62" s="199"/>
      <c r="AC62" s="196"/>
      <c r="AD62" s="183"/>
      <c r="AE62" s="200"/>
      <c r="AF62" s="183"/>
    </row>
    <row r="63" spans="1:32" ht="12.75">
      <c r="A63" s="151"/>
      <c r="B63" s="56"/>
      <c r="N63" s="52"/>
      <c r="O63" s="128"/>
      <c r="P63" s="52"/>
      <c r="Q63" s="173"/>
      <c r="R63" s="49"/>
      <c r="S63" s="196" t="s">
        <v>32</v>
      </c>
      <c r="T63" s="197"/>
      <c r="U63" s="199"/>
      <c r="V63" s="223"/>
      <c r="W63" s="199"/>
      <c r="X63" s="151"/>
      <c r="Y63" s="259" t="s">
        <v>61</v>
      </c>
      <c r="Z63" s="198" t="s">
        <v>45</v>
      </c>
      <c r="AA63" s="260" t="s">
        <v>32</v>
      </c>
      <c r="AB63" s="198" t="s">
        <v>33</v>
      </c>
      <c r="AC63" s="198" t="s">
        <v>34</v>
      </c>
      <c r="AD63" s="361">
        <f>IF($U$38=3,"Infonavit gastos de originación","")</f>
      </c>
      <c r="AE63" s="362">
        <v>0.05</v>
      </c>
      <c r="AF63" s="183"/>
    </row>
    <row r="64" spans="1:32" ht="12.75">
      <c r="A64" s="151"/>
      <c r="B64" s="56"/>
      <c r="N64" s="52"/>
      <c r="O64" s="52"/>
      <c r="P64" s="52"/>
      <c r="Q64" s="173"/>
      <c r="R64" s="49"/>
      <c r="S64" s="196" t="s">
        <v>33</v>
      </c>
      <c r="T64" s="197"/>
      <c r="U64" s="199"/>
      <c r="V64" s="223"/>
      <c r="W64" s="199"/>
      <c r="X64" s="151"/>
      <c r="Y64" s="199" t="s">
        <v>183</v>
      </c>
      <c r="Z64" s="196"/>
      <c r="AA64" s="202">
        <f>_xlfn.IFERROR($I$25/1000*$AB$57/$AC$38,0)</f>
        <v>0</v>
      </c>
      <c r="AB64" s="202">
        <f>_xlfn.IFERROR($I$25/1000*$Y$57/$AC$38,0)</f>
        <v>0</v>
      </c>
      <c r="AC64" s="202">
        <f>_xlfn.IFERROR($I$25/1000*$V$57/$AC$38,0)</f>
        <v>0</v>
      </c>
      <c r="AD64" s="361" t="str">
        <f>IF($U$38=3,"Infonavit impuestos y derechos","Impuestos y derechos")</f>
        <v>Impuestos y derechos</v>
      </c>
      <c r="AE64" s="362">
        <v>0.05</v>
      </c>
      <c r="AF64" s="183"/>
    </row>
    <row r="65" spans="1:31" ht="12.75">
      <c r="A65" s="151"/>
      <c r="B65" s="56"/>
      <c r="Q65" s="173"/>
      <c r="R65" s="49"/>
      <c r="S65" s="196" t="s">
        <v>34</v>
      </c>
      <c r="T65" s="197"/>
      <c r="U65" s="199"/>
      <c r="V65" s="223"/>
      <c r="W65" s="199"/>
      <c r="X65" s="151"/>
      <c r="Y65" s="199" t="s">
        <v>21</v>
      </c>
      <c r="Z65" s="196"/>
      <c r="AA65" s="202">
        <f>AA64</f>
        <v>0</v>
      </c>
      <c r="AB65" s="202">
        <f>AB64</f>
        <v>0</v>
      </c>
      <c r="AC65" s="202">
        <f>AC64</f>
        <v>0</v>
      </c>
      <c r="AD65" s="361" t="s">
        <v>167</v>
      </c>
      <c r="AE65" s="362">
        <f>IF(OR(U38=4,U38=5),0,2%)</f>
        <v>0.02</v>
      </c>
    </row>
    <row r="66" spans="1:29" ht="11.25">
      <c r="A66" s="151"/>
      <c r="B66" s="25"/>
      <c r="Q66" s="173"/>
      <c r="R66" s="49"/>
      <c r="S66" s="197"/>
      <c r="T66" s="197"/>
      <c r="U66" s="199"/>
      <c r="V66" s="276" t="s">
        <v>61</v>
      </c>
      <c r="W66" s="276" t="s">
        <v>61</v>
      </c>
      <c r="X66" s="151"/>
      <c r="Y66" s="199"/>
      <c r="Z66" s="196"/>
      <c r="AA66" s="202"/>
      <c r="AB66" s="202"/>
      <c r="AC66" s="202"/>
    </row>
    <row r="67" spans="1:29" ht="11.25">
      <c r="A67" s="151"/>
      <c r="B67" s="25"/>
      <c r="Q67" s="173"/>
      <c r="R67" s="49"/>
      <c r="S67" s="313" t="s">
        <v>75</v>
      </c>
      <c r="T67" s="314">
        <v>1</v>
      </c>
      <c r="U67" s="199"/>
      <c r="V67" s="275" t="s">
        <v>82</v>
      </c>
      <c r="W67" s="275" t="s">
        <v>81</v>
      </c>
      <c r="X67" s="151"/>
      <c r="Y67" s="259"/>
      <c r="Z67" s="259"/>
      <c r="AA67" s="261">
        <f>MAX($Y$38,IF($Y$40=1,AA64,AA65))</f>
        <v>10000</v>
      </c>
      <c r="AB67" s="261">
        <f>MAX($Y$38,IF($Y$40=1,AB64,AB65))</f>
        <v>10000</v>
      </c>
      <c r="AC67" s="261">
        <f>MAX($Y$38,IF($Y$40=1,AC64,AC65))</f>
        <v>10000</v>
      </c>
    </row>
    <row r="68" spans="1:32" ht="12">
      <c r="A68" s="151"/>
      <c r="B68" s="25"/>
      <c r="Q68" s="173"/>
      <c r="R68" s="49"/>
      <c r="S68" s="197" t="s">
        <v>61</v>
      </c>
      <c r="T68" s="199"/>
      <c r="U68" s="199"/>
      <c r="V68" s="274">
        <f>IF($T$61=1,AE56,IF($T$61=2,AB56,IF($T$61=3,Y56,V56)))</f>
        <v>8.83</v>
      </c>
      <c r="W68" s="329">
        <f>IF($T$61=1,AF56,IF($T$61=2,AC56,IF($T$61=3,Z56,W56)))</f>
        <v>0.021</v>
      </c>
      <c r="X68" s="151"/>
      <c r="Y68" s="259" t="s">
        <v>71</v>
      </c>
      <c r="Z68" s="198" t="s">
        <v>45</v>
      </c>
      <c r="AA68" s="260" t="s">
        <v>32</v>
      </c>
      <c r="AB68" s="198" t="s">
        <v>33</v>
      </c>
      <c r="AC68" s="198" t="s">
        <v>34</v>
      </c>
      <c r="AD68" s="335" t="s">
        <v>191</v>
      </c>
      <c r="AE68" s="336"/>
      <c r="AF68" s="337"/>
    </row>
    <row r="69" spans="1:33" ht="12.75">
      <c r="A69" s="151"/>
      <c r="B69" s="25"/>
      <c r="Q69" s="173"/>
      <c r="R69" s="49"/>
      <c r="S69" s="197" t="s">
        <v>71</v>
      </c>
      <c r="T69" s="199">
        <v>1</v>
      </c>
      <c r="U69" s="199"/>
      <c r="V69" s="199">
        <f>IF($T$61=1,AE55,IF($T$61=2,AB55,IF($T$61=3,Y55,V55)))</f>
        <v>9.72</v>
      </c>
      <c r="W69" s="328">
        <v>0</v>
      </c>
      <c r="Y69" s="199" t="s">
        <v>183</v>
      </c>
      <c r="Z69" s="202">
        <f>_xlfn.IFERROR($I$25/1000*$AE$55/$AC$38,0)</f>
        <v>0</v>
      </c>
      <c r="AA69" s="202">
        <f>_xlfn.IFERROR($I$25/1000*$AB$55/$AC$38,0)</f>
        <v>0</v>
      </c>
      <c r="AB69" s="202">
        <f>_xlfn.IFERROR($I$25/1000*$Y$55/$AC$38,0)</f>
        <v>0</v>
      </c>
      <c r="AC69" s="202">
        <f>_xlfn.IFERROR($I$25/1000*$V$55/$AC$38,0)</f>
        <v>0</v>
      </c>
      <c r="AD69" s="521" t="s">
        <v>441</v>
      </c>
      <c r="AE69" s="401"/>
      <c r="AF69" s="522">
        <v>88.36</v>
      </c>
      <c r="AG69" s="509">
        <f>AF69*30</f>
        <v>2650.8</v>
      </c>
    </row>
    <row r="70" spans="1:33" ht="12">
      <c r="A70" s="151"/>
      <c r="B70" s="25"/>
      <c r="Q70" s="173"/>
      <c r="R70" s="49"/>
      <c r="S70" s="197"/>
      <c r="T70" s="199"/>
      <c r="U70" s="199"/>
      <c r="V70" s="274"/>
      <c r="W70" s="329"/>
      <c r="X70" s="183"/>
      <c r="Y70" s="199" t="s">
        <v>21</v>
      </c>
      <c r="Z70" s="202">
        <f>Z69</f>
        <v>0</v>
      </c>
      <c r="AA70" s="202">
        <f>AA69</f>
        <v>0</v>
      </c>
      <c r="AB70" s="202">
        <f>AB69</f>
        <v>0</v>
      </c>
      <c r="AC70" s="202">
        <f>AC69</f>
        <v>0</v>
      </c>
      <c r="AD70" s="508" t="s">
        <v>312</v>
      </c>
      <c r="AE70" s="336"/>
      <c r="AF70" s="339">
        <v>25</v>
      </c>
      <c r="AG70" s="509"/>
    </row>
    <row r="71" spans="1:33" ht="12">
      <c r="A71" s="151"/>
      <c r="B71" s="25"/>
      <c r="Q71" s="173"/>
      <c r="R71" s="49"/>
      <c r="S71" s="315" t="s">
        <v>157</v>
      </c>
      <c r="T71" s="314">
        <v>3</v>
      </c>
      <c r="U71" s="199"/>
      <c r="V71" s="274"/>
      <c r="W71" s="329"/>
      <c r="X71" s="183"/>
      <c r="Y71" s="199"/>
      <c r="Z71" s="202"/>
      <c r="AA71" s="202"/>
      <c r="AB71" s="202"/>
      <c r="AC71" s="202"/>
      <c r="AD71" s="338" t="s">
        <v>192</v>
      </c>
      <c r="AE71" s="336"/>
      <c r="AF71" s="338">
        <f>+AF69*AF70</f>
        <v>2209</v>
      </c>
      <c r="AG71" s="509">
        <f>AF71*30</f>
        <v>66270</v>
      </c>
    </row>
    <row r="72" spans="1:32" ht="12">
      <c r="A72" s="151"/>
      <c r="B72" s="25"/>
      <c r="Q72" s="173"/>
      <c r="R72" s="49"/>
      <c r="S72" s="325">
        <f>+IF(T67=2,U55,IF(OR(U38=4,U38=5),$AH$56,U47))</f>
        <v>0.09</v>
      </c>
      <c r="T72" s="382" t="s">
        <v>186</v>
      </c>
      <c r="U72" s="199"/>
      <c r="V72" s="274"/>
      <c r="W72" s="329"/>
      <c r="X72" s="183"/>
      <c r="Y72" s="259"/>
      <c r="Z72" s="261">
        <f>MAX($Y$38,IF($Y$40=1,Z69,Z70))</f>
        <v>10000</v>
      </c>
      <c r="AA72" s="261">
        <f>MAX($Y$38,IF($Y$40=1,AA69,AA70))</f>
        <v>10000</v>
      </c>
      <c r="AB72" s="261">
        <f>MAX($Y$38,IF($Y$40=1,AB69,AB70))</f>
        <v>10000</v>
      </c>
      <c r="AC72" s="261">
        <f>MAX($Y$38,IF($Y$40=1,AC69,AC70))</f>
        <v>10000</v>
      </c>
      <c r="AD72" s="338" t="s">
        <v>193</v>
      </c>
      <c r="AE72" s="336"/>
      <c r="AF72" s="338">
        <f>+AF71*0.05</f>
        <v>110.45</v>
      </c>
    </row>
    <row r="73" spans="1:32" ht="12">
      <c r="A73" s="151"/>
      <c r="B73" s="25"/>
      <c r="Q73" s="173"/>
      <c r="R73" s="49"/>
      <c r="S73" s="326">
        <f>IF($T$67=2,"",IF(AND(T67=1,OR(U38=4,U38=5)),"",U48))</f>
        <v>0.095</v>
      </c>
      <c r="T73" s="383">
        <v>3</v>
      </c>
      <c r="U73" s="199"/>
      <c r="V73" s="274"/>
      <c r="W73" s="329"/>
      <c r="X73" s="49"/>
      <c r="Y73" s="49"/>
      <c r="Z73" s="226"/>
      <c r="AD73" s="338" t="s">
        <v>310</v>
      </c>
      <c r="AE73" s="340">
        <v>0.05</v>
      </c>
      <c r="AF73" s="338"/>
    </row>
    <row r="74" spans="1:32" ht="12">
      <c r="A74" s="151"/>
      <c r="B74" s="25"/>
      <c r="Q74" s="173"/>
      <c r="R74" s="49"/>
      <c r="S74" s="326">
        <f>IF($T$67=2,"",IF(AND(T67=1,OR(U38=4,U38=5)),"",U49))</f>
        <v>0.1</v>
      </c>
      <c r="T74" s="383">
        <v>2</v>
      </c>
      <c r="U74" s="199"/>
      <c r="V74" s="274"/>
      <c r="W74" s="329"/>
      <c r="X74" s="49"/>
      <c r="AD74" s="338" t="s">
        <v>194</v>
      </c>
      <c r="AE74" s="336"/>
      <c r="AF74" s="339">
        <v>60</v>
      </c>
    </row>
    <row r="75" spans="1:32" ht="12">
      <c r="A75" s="151"/>
      <c r="B75" s="25"/>
      <c r="Q75" s="173"/>
      <c r="R75" s="49"/>
      <c r="S75" s="326">
        <f>IF($T$67=2,"",IF(AND(T67=1,OR(U38=4,U38=5)),"",U50))</f>
        <v>0.1025</v>
      </c>
      <c r="T75" s="383">
        <v>3</v>
      </c>
      <c r="U75" s="199"/>
      <c r="V75" s="199"/>
      <c r="W75" s="199"/>
      <c r="X75" s="49"/>
      <c r="AC75" s="365"/>
      <c r="AD75" s="338" t="s">
        <v>195</v>
      </c>
      <c r="AE75" s="336"/>
      <c r="AF75" s="341">
        <f>+AF72*AF74</f>
        <v>6627</v>
      </c>
    </row>
    <row r="76" spans="1:32" ht="11.25">
      <c r="A76" s="151"/>
      <c r="B76" s="25"/>
      <c r="Q76" s="173"/>
      <c r="R76" s="49"/>
      <c r="S76" s="326">
        <f>IF($T$67=2,"",IF(AND(T67=1,OR(U38=4,U38=5)),"",U51))</f>
        <v>0.1075</v>
      </c>
      <c r="T76" s="383">
        <v>4</v>
      </c>
      <c r="U76" s="199"/>
      <c r="V76" s="196"/>
      <c r="W76" s="196"/>
      <c r="X76" s="49"/>
      <c r="AC76" s="365"/>
      <c r="AD76" s="483" t="s">
        <v>303</v>
      </c>
      <c r="AE76" s="484"/>
      <c r="AF76" s="485">
        <v>0.03</v>
      </c>
    </row>
    <row r="77" spans="1:29" ht="11.25">
      <c r="A77" s="151"/>
      <c r="B77" s="25"/>
      <c r="Q77" s="173"/>
      <c r="R77" s="49"/>
      <c r="S77" s="326">
        <f>IF($T$67=2,"",IF(AND(T67=1,OR(U38=4,U38=5)),"",U52))</f>
        <v>0.11</v>
      </c>
      <c r="T77" s="383" t="s">
        <v>187</v>
      </c>
      <c r="U77" s="199"/>
      <c r="V77" s="196"/>
      <c r="W77" s="196"/>
      <c r="Y77" s="49"/>
      <c r="AA77" s="368"/>
      <c r="AC77" s="213"/>
    </row>
    <row r="78" spans="1:26" ht="11.25">
      <c r="A78" s="151"/>
      <c r="B78" s="25"/>
      <c r="Q78" s="173"/>
      <c r="R78" s="7"/>
      <c r="S78" s="327"/>
      <c r="T78" s="382"/>
      <c r="U78" s="199"/>
      <c r="V78" s="196"/>
      <c r="W78" s="196"/>
      <c r="Y78" s="1"/>
      <c r="Z78" s="1"/>
    </row>
    <row r="79" spans="1:30" ht="11.25">
      <c r="A79" s="151"/>
      <c r="B79" s="25"/>
      <c r="Q79" s="173"/>
      <c r="R79" s="7"/>
      <c r="S79" s="197"/>
      <c r="T79" s="396" t="s">
        <v>148</v>
      </c>
      <c r="U79" s="199"/>
      <c r="V79" s="196"/>
      <c r="W79" s="202"/>
      <c r="X79" s="49"/>
      <c r="Y79" s="49"/>
      <c r="AA79" s="227"/>
      <c r="AD79" s="41"/>
    </row>
    <row r="80" spans="1:31" ht="11.25">
      <c r="A80" s="151"/>
      <c r="B80" s="25"/>
      <c r="Q80" s="173"/>
      <c r="R80" s="7"/>
      <c r="S80" s="197"/>
      <c r="T80" s="397" t="str">
        <f>IF($T$67=1,S68,S69)</f>
        <v>Valora</v>
      </c>
      <c r="U80" s="199"/>
      <c r="V80" s="199"/>
      <c r="W80" s="272" t="s">
        <v>161</v>
      </c>
      <c r="X80" s="196"/>
      <c r="Y80" s="196" t="s">
        <v>7</v>
      </c>
      <c r="Z80" s="196"/>
      <c r="AA80" s="196" t="s">
        <v>83</v>
      </c>
      <c r="AB80" s="196"/>
      <c r="AC80" s="196" t="s">
        <v>80</v>
      </c>
      <c r="AD80" s="196"/>
      <c r="AE80" s="196"/>
    </row>
    <row r="81" spans="1:32" ht="11.25">
      <c r="A81" s="151"/>
      <c r="B81" s="25"/>
      <c r="Q81" s="173"/>
      <c r="S81" s="197"/>
      <c r="T81" s="397" t="str">
        <f>IF($T$61=1,S62,IF($T$61=2,S63,IF($T$61=3,S64,S65)))</f>
        <v>20 años</v>
      </c>
      <c r="U81" s="199"/>
      <c r="V81" s="224" t="s">
        <v>160</v>
      </c>
      <c r="W81" s="202">
        <f>_xlfn.IFERROR(IF($Y$40=3,D21,D21*X38),0)</f>
        <v>0</v>
      </c>
      <c r="X81" s="196"/>
      <c r="Y81" s="202">
        <f>W81/1000*$T$83</f>
        <v>0</v>
      </c>
      <c r="Z81" s="196"/>
      <c r="AA81" s="203">
        <f>_xlfn.IFERROR(IF($Y$40=3,D21/X38,D21),0)</f>
        <v>0</v>
      </c>
      <c r="AB81" s="196"/>
      <c r="AC81" s="202">
        <f>W81/1000*$T$85/$AC$38</f>
        <v>0</v>
      </c>
      <c r="AD81" s="228">
        <f>$Y$38</f>
        <v>10000</v>
      </c>
      <c r="AE81" s="202">
        <f>MAX(AC81:AD81)</f>
        <v>10000</v>
      </c>
      <c r="AF81" s="183"/>
    </row>
    <row r="82" spans="1:32" ht="11.25">
      <c r="A82" s="151"/>
      <c r="B82" s="25"/>
      <c r="Q82" s="173"/>
      <c r="S82" s="197"/>
      <c r="T82" s="398">
        <f>_xlfn.IFERROR(IF(T67=2,INDEX($S$72:$S$78,1),INDEX($S$72:$S$78,$T$71)),0)</f>
        <v>0.1</v>
      </c>
      <c r="U82" s="199"/>
      <c r="V82" s="224" t="s">
        <v>21</v>
      </c>
      <c r="W82" s="202">
        <f>_xlfn.IFERROR(Y82/(T85/1000),0)</f>
        <v>0</v>
      </c>
      <c r="X82" s="196"/>
      <c r="Y82" s="202">
        <f>_xlfn.IFERROR(D21*AC38,0)</f>
        <v>0</v>
      </c>
      <c r="Z82" s="196"/>
      <c r="AA82" s="201">
        <f>W82/$X$38</f>
        <v>0</v>
      </c>
      <c r="AB82" s="196"/>
      <c r="AC82" s="201">
        <f>D21</f>
        <v>0</v>
      </c>
      <c r="AD82" s="228">
        <f>$Y$38</f>
        <v>10000</v>
      </c>
      <c r="AE82" s="202">
        <f>MAX(AC82:AD82)</f>
        <v>10000</v>
      </c>
      <c r="AF82" s="183"/>
    </row>
    <row r="83" spans="1:32" ht="11.25">
      <c r="A83" s="151"/>
      <c r="B83" s="25"/>
      <c r="Q83" s="173"/>
      <c r="S83" s="197"/>
      <c r="T83" s="399">
        <f>_xlfn.IFERROR(IF($T$67=1,V68,V69),0)</f>
        <v>8.83</v>
      </c>
      <c r="U83" s="199"/>
      <c r="V83" s="196"/>
      <c r="W83" s="493"/>
      <c r="X83" s="196"/>
      <c r="Y83" s="202"/>
      <c r="Z83" s="196"/>
      <c r="AA83" s="201"/>
      <c r="AB83" s="196"/>
      <c r="AC83" s="196"/>
      <c r="AD83" s="228"/>
      <c r="AE83" s="202"/>
      <c r="AF83" s="183"/>
    </row>
    <row r="84" spans="1:32" ht="11.25">
      <c r="A84" s="151"/>
      <c r="B84" s="25"/>
      <c r="Q84" s="173"/>
      <c r="R84" s="7"/>
      <c r="S84" s="197"/>
      <c r="T84" s="398">
        <f>_xlfn.IFERROR(IF($T$67=1,W68,W69),0)</f>
        <v>0.021</v>
      </c>
      <c r="U84" s="199"/>
      <c r="V84" s="202"/>
      <c r="W84" s="493"/>
      <c r="X84" s="196"/>
      <c r="Y84" s="493"/>
      <c r="Z84" s="196"/>
      <c r="AA84" s="196"/>
      <c r="AB84" s="196"/>
      <c r="AC84" s="196"/>
      <c r="AD84" s="196"/>
      <c r="AE84" s="196"/>
      <c r="AF84" s="183"/>
    </row>
    <row r="85" spans="1:32" ht="11.25">
      <c r="A85" s="151"/>
      <c r="B85" s="25"/>
      <c r="Q85" s="173"/>
      <c r="R85" s="7"/>
      <c r="S85" s="225" t="s">
        <v>158</v>
      </c>
      <c r="T85" s="399">
        <f>_xlfn.IFERROR(IF(AND(T67=1,T61=2),AB56,IF(AND(T67=1,T61=3),Y56,IF(AND(T67=1,T61=4),V56,IF(AND(T67=2,T61=1),AE55,IF(AND(T67=2,T61=2),AB55,IF(AND(T67=2,T61=3),Y55,V55)))))),0)</f>
        <v>8.83</v>
      </c>
      <c r="U85" s="199"/>
      <c r="V85" s="196" t="s">
        <v>163</v>
      </c>
      <c r="W85" s="202">
        <f>IF(OR($Y$40=1,$Y$40=3),W81,W82)</f>
        <v>0</v>
      </c>
      <c r="X85" s="202"/>
      <c r="Y85" s="494"/>
      <c r="Z85" s="196"/>
      <c r="AA85" s="201">
        <f>IF(OR($Y$40=1,$Y$40=3),AA81,AA82)</f>
        <v>0</v>
      </c>
      <c r="AB85" s="196"/>
      <c r="AC85" s="673">
        <f>IF(AND(Y40=2,T67=1,T71&gt;3,SUM(Z29:Z30)&gt;0),AC82*25,"")</f>
      </c>
      <c r="AD85" s="196"/>
      <c r="AE85" s="201">
        <f>IF($Y$40=1,AE81,AE82)</f>
        <v>10000</v>
      </c>
      <c r="AF85" s="183"/>
    </row>
    <row r="86" spans="1:32" ht="12.75">
      <c r="A86" s="151"/>
      <c r="B86" s="174"/>
      <c r="Q86" s="173"/>
      <c r="R86" s="7"/>
      <c r="S86" s="225" t="s">
        <v>182</v>
      </c>
      <c r="T86" s="399">
        <f>IF(AND(T67=1,T61=2),AB57,IF(AND(T67=1,T61=3),Y57,IF(AND(T67=1,T61=4),V57,IF(AND(T67=2,T61=1),AE55,IF(AND(T67=2,T61=2),AB55,IF(AND(T67=2,T61=3),Y55,V55))))))</f>
        <v>8.83</v>
      </c>
      <c r="U86" s="199"/>
      <c r="V86" s="196"/>
      <c r="W86" s="201"/>
      <c r="X86" s="196"/>
      <c r="Y86" s="503"/>
      <c r="Z86" s="196"/>
      <c r="AA86" s="201"/>
      <c r="AB86" s="196"/>
      <c r="AC86" s="198" t="s">
        <v>450</v>
      </c>
      <c r="AD86" s="196"/>
      <c r="AE86" s="201"/>
      <c r="AF86" s="183"/>
    </row>
    <row r="87" spans="1:25" ht="12.75">
      <c r="A87" s="151"/>
      <c r="B87" s="174"/>
      <c r="Q87" s="173"/>
      <c r="R87" s="7"/>
      <c r="X87" s="49"/>
      <c r="Y87" s="49"/>
    </row>
    <row r="88" spans="1:25" ht="15.75" customHeight="1">
      <c r="A88" s="151"/>
      <c r="B88" s="174"/>
      <c r="O88" s="460"/>
      <c r="Q88" s="173"/>
      <c r="R88" s="7"/>
      <c r="S88" s="186" t="s">
        <v>146</v>
      </c>
      <c r="T88" s="187"/>
      <c r="U88" s="187"/>
      <c r="V88" s="187"/>
      <c r="X88" s="49"/>
      <c r="Y88" s="49"/>
    </row>
    <row r="89" spans="1:29" ht="12.75">
      <c r="A89" s="151"/>
      <c r="B89" s="174"/>
      <c r="Q89" s="173"/>
      <c r="R89" s="7"/>
      <c r="S89" s="188" t="s">
        <v>1</v>
      </c>
      <c r="T89" s="188" t="s">
        <v>2</v>
      </c>
      <c r="U89" s="188" t="s">
        <v>3</v>
      </c>
      <c r="V89" s="412" t="s">
        <v>269</v>
      </c>
      <c r="X89" s="49"/>
      <c r="AB89" s="49">
        <v>25</v>
      </c>
      <c r="AC89" s="674">
        <v>1250000</v>
      </c>
    </row>
    <row r="90" spans="1:30" ht="12.75">
      <c r="A90" s="151"/>
      <c r="B90" s="174"/>
      <c r="Q90" s="173"/>
      <c r="R90" s="7"/>
      <c r="S90" s="189">
        <v>0.01</v>
      </c>
      <c r="T90" s="189">
        <v>500000</v>
      </c>
      <c r="U90" s="189">
        <v>1900</v>
      </c>
      <c r="V90" s="413">
        <v>1253</v>
      </c>
      <c r="X90" s="49"/>
      <c r="AB90" s="49">
        <v>25.9</v>
      </c>
      <c r="AC90" s="674">
        <v>1295000</v>
      </c>
      <c r="AD90" s="674">
        <f>+AC90-AC89</f>
        <v>45000</v>
      </c>
    </row>
    <row r="91" spans="1:29" ht="12.75">
      <c r="A91" s="151"/>
      <c r="B91" s="174"/>
      <c r="Q91" s="173"/>
      <c r="R91" s="7"/>
      <c r="S91" s="189">
        <v>500001</v>
      </c>
      <c r="T91" s="189">
        <v>1000000</v>
      </c>
      <c r="U91" s="189">
        <v>3300</v>
      </c>
      <c r="V91" s="413">
        <v>1740</v>
      </c>
      <c r="X91" s="49"/>
      <c r="AB91" s="49">
        <v>26</v>
      </c>
      <c r="AC91" s="49">
        <v>1300000</v>
      </c>
    </row>
    <row r="92" spans="1:24" ht="11.25">
      <c r="A92" s="151"/>
      <c r="B92" s="25"/>
      <c r="Q92" s="173"/>
      <c r="R92" s="7"/>
      <c r="S92" s="189">
        <v>1000001</v>
      </c>
      <c r="T92" s="189">
        <v>1500000</v>
      </c>
      <c r="U92" s="189">
        <v>4500</v>
      </c>
      <c r="V92" s="413">
        <v>2784</v>
      </c>
      <c r="X92" s="49"/>
    </row>
    <row r="93" spans="1:24" ht="11.25">
      <c r="A93" s="151"/>
      <c r="B93" s="25"/>
      <c r="Q93" s="173"/>
      <c r="R93" s="7"/>
      <c r="S93" s="189">
        <v>1500001</v>
      </c>
      <c r="T93" s="189">
        <v>2000000</v>
      </c>
      <c r="U93" s="189">
        <v>5750</v>
      </c>
      <c r="V93" s="413">
        <v>2784</v>
      </c>
      <c r="X93" s="49"/>
    </row>
    <row r="94" spans="1:24" ht="11.25">
      <c r="A94" s="151"/>
      <c r="B94" s="25"/>
      <c r="Q94" s="173"/>
      <c r="R94" s="8"/>
      <c r="S94" s="189">
        <v>2000001</v>
      </c>
      <c r="T94" s="189">
        <v>2500000</v>
      </c>
      <c r="U94" s="189">
        <v>7000</v>
      </c>
      <c r="V94" s="413">
        <v>4663</v>
      </c>
      <c r="X94" s="49"/>
    </row>
    <row r="95" spans="1:24" ht="11.25">
      <c r="A95" s="151"/>
      <c r="B95" s="25"/>
      <c r="Q95" s="173"/>
      <c r="R95" s="7"/>
      <c r="S95" s="189">
        <v>2500001</v>
      </c>
      <c r="T95" s="189">
        <v>3000000</v>
      </c>
      <c r="U95" s="189">
        <v>8200</v>
      </c>
      <c r="V95" s="413">
        <v>4663</v>
      </c>
      <c r="X95" s="49"/>
    </row>
    <row r="96" spans="1:24" ht="11.25">
      <c r="A96" s="151"/>
      <c r="B96" s="25"/>
      <c r="Q96" s="173"/>
      <c r="R96" s="1"/>
      <c r="S96" s="189">
        <v>3000001</v>
      </c>
      <c r="T96" s="189">
        <v>4000000</v>
      </c>
      <c r="U96" s="189">
        <v>11000</v>
      </c>
      <c r="V96" s="413">
        <v>5000</v>
      </c>
      <c r="X96" s="49"/>
    </row>
    <row r="97" spans="1:24" ht="12.75">
      <c r="A97" s="151"/>
      <c r="B97" s="25"/>
      <c r="Q97" s="173"/>
      <c r="R97" s="45"/>
      <c r="S97" s="189">
        <v>4000001</v>
      </c>
      <c r="T97" s="189">
        <v>5000000</v>
      </c>
      <c r="U97" s="189">
        <v>13900</v>
      </c>
      <c r="V97" s="413">
        <v>5000</v>
      </c>
      <c r="X97" s="49"/>
    </row>
    <row r="98" spans="1:24" ht="12.75">
      <c r="A98" s="151"/>
      <c r="B98" s="25"/>
      <c r="Q98" s="173"/>
      <c r="R98" s="45"/>
      <c r="S98" s="189">
        <v>5000001</v>
      </c>
      <c r="T98" s="189">
        <v>6000000</v>
      </c>
      <c r="U98" s="189">
        <v>15500</v>
      </c>
      <c r="V98" s="413">
        <v>5000</v>
      </c>
      <c r="X98" s="49"/>
    </row>
    <row r="99" spans="2:24" ht="12.75">
      <c r="B99" s="25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7"/>
      <c r="N99" s="7"/>
      <c r="O99" s="7"/>
      <c r="P99" s="7"/>
      <c r="R99" s="45"/>
      <c r="S99" s="189">
        <v>6000001</v>
      </c>
      <c r="T99" s="189">
        <v>7000000</v>
      </c>
      <c r="U99" s="189">
        <v>19000</v>
      </c>
      <c r="V99" s="413">
        <v>5000</v>
      </c>
      <c r="X99" s="49"/>
    </row>
    <row r="100" spans="2:34" ht="12.75">
      <c r="B100" s="25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7"/>
      <c r="N100" s="7"/>
      <c r="O100" s="7"/>
      <c r="P100" s="7"/>
      <c r="Q100" s="7"/>
      <c r="R100" s="45"/>
      <c r="S100" s="189">
        <v>7000001</v>
      </c>
      <c r="T100" s="189">
        <v>8000000</v>
      </c>
      <c r="U100" s="189">
        <v>20000</v>
      </c>
      <c r="V100" s="413">
        <v>5000</v>
      </c>
      <c r="X100" s="49"/>
      <c r="AF100" s="464"/>
      <c r="AH100"/>
    </row>
    <row r="101" spans="2:34" ht="12.75">
      <c r="B101" s="25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7"/>
      <c r="N101" s="7"/>
      <c r="O101" s="7"/>
      <c r="P101" s="7"/>
      <c r="Q101" s="7"/>
      <c r="R101" s="45"/>
      <c r="S101" s="189">
        <v>8000001</v>
      </c>
      <c r="T101" s="189">
        <v>9000000</v>
      </c>
      <c r="U101" s="189">
        <v>20100</v>
      </c>
      <c r="V101" s="413">
        <v>5000</v>
      </c>
      <c r="X101" s="49"/>
      <c r="AH101"/>
    </row>
    <row r="102" spans="2:34" ht="12.75">
      <c r="B102" s="25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7"/>
      <c r="N102" s="7"/>
      <c r="O102" s="7"/>
      <c r="P102" s="7"/>
      <c r="Q102" s="7"/>
      <c r="R102" s="45"/>
      <c r="S102" s="189">
        <v>9000001</v>
      </c>
      <c r="T102" s="189">
        <v>10000000</v>
      </c>
      <c r="U102" s="189">
        <v>22500</v>
      </c>
      <c r="V102" s="413">
        <v>5000</v>
      </c>
      <c r="X102" s="49"/>
      <c r="AH102"/>
    </row>
    <row r="103" spans="2:24" ht="12.75">
      <c r="B103" s="25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7"/>
      <c r="N103" s="7"/>
      <c r="O103" s="7"/>
      <c r="P103" s="7"/>
      <c r="Q103" s="7"/>
      <c r="R103" s="45"/>
      <c r="S103" s="189">
        <v>10000001</v>
      </c>
      <c r="T103" s="189">
        <v>11000000</v>
      </c>
      <c r="U103" s="189">
        <v>27000</v>
      </c>
      <c r="V103" s="413">
        <v>5000</v>
      </c>
      <c r="X103" s="49"/>
    </row>
    <row r="104" spans="2:24" ht="12.75">
      <c r="B104" s="25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7"/>
      <c r="N104" s="7"/>
      <c r="O104" s="7"/>
      <c r="P104" s="7"/>
      <c r="Q104" s="7"/>
      <c r="R104" s="45"/>
      <c r="S104" s="189">
        <v>11000001</v>
      </c>
      <c r="T104" s="189">
        <v>12000000</v>
      </c>
      <c r="U104" s="189">
        <v>28000</v>
      </c>
      <c r="V104" s="413">
        <v>5000</v>
      </c>
      <c r="X104" s="49"/>
    </row>
    <row r="105" spans="2:24" ht="12.75">
      <c r="B105" s="25"/>
      <c r="C105" s="6"/>
      <c r="D105" s="6"/>
      <c r="E105" s="6"/>
      <c r="F105" s="6"/>
      <c r="G105" s="6"/>
      <c r="H105" s="6"/>
      <c r="I105" s="6"/>
      <c r="J105" s="7"/>
      <c r="K105" s="7"/>
      <c r="L105" s="7"/>
      <c r="M105" s="7"/>
      <c r="N105" s="7"/>
      <c r="O105" s="7"/>
      <c r="P105" s="7"/>
      <c r="Q105" s="7"/>
      <c r="R105" s="45"/>
      <c r="S105" s="189">
        <v>12000001</v>
      </c>
      <c r="T105" s="189">
        <v>13000000</v>
      </c>
      <c r="U105" s="189">
        <v>30000</v>
      </c>
      <c r="V105" s="413">
        <v>5000</v>
      </c>
      <c r="X105" s="49"/>
    </row>
    <row r="106" spans="2:24" ht="12.75">
      <c r="B106" s="25"/>
      <c r="C106" s="46"/>
      <c r="D106" s="46"/>
      <c r="E106" s="46"/>
      <c r="F106" s="9"/>
      <c r="G106" s="9"/>
      <c r="H106" s="9"/>
      <c r="I106" s="47"/>
      <c r="J106" s="25"/>
      <c r="K106" s="25"/>
      <c r="L106" s="25"/>
      <c r="M106" s="7"/>
      <c r="N106" s="7"/>
      <c r="O106" s="7"/>
      <c r="P106" s="7"/>
      <c r="Q106" s="7"/>
      <c r="R106" s="45"/>
      <c r="S106" s="189">
        <v>13000001</v>
      </c>
      <c r="T106" s="189">
        <v>14000000</v>
      </c>
      <c r="U106" s="189">
        <v>32000</v>
      </c>
      <c r="V106" s="413">
        <v>5000</v>
      </c>
      <c r="X106" s="49"/>
    </row>
    <row r="107" spans="2:31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1"/>
      <c r="R107" s="45"/>
      <c r="S107" s="189">
        <v>14000001</v>
      </c>
      <c r="T107" s="189">
        <v>15000000</v>
      </c>
      <c r="U107" s="189">
        <v>34000</v>
      </c>
      <c r="V107" s="413">
        <v>5000</v>
      </c>
      <c r="W107" s="151"/>
      <c r="X107" s="49"/>
      <c r="Y107" s="464"/>
      <c r="Z107" s="464"/>
      <c r="AA107" s="464"/>
      <c r="AB107" s="464"/>
      <c r="AC107" s="464"/>
      <c r="AD107" s="464"/>
      <c r="AE107" s="464"/>
    </row>
    <row r="108" spans="2:25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9"/>
      <c r="R108" s="45"/>
      <c r="S108" s="189">
        <v>15000001</v>
      </c>
      <c r="T108" s="189">
        <v>20000000</v>
      </c>
      <c r="U108" s="189">
        <v>37000</v>
      </c>
      <c r="V108" s="413">
        <v>5000</v>
      </c>
      <c r="W108" s="151"/>
      <c r="X108" s="49"/>
      <c r="Y108" s="49"/>
    </row>
    <row r="109" spans="2:37" ht="25.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8"/>
      <c r="R109" s="45"/>
      <c r="S109" s="189">
        <v>20000001</v>
      </c>
      <c r="T109" s="189">
        <v>25000000</v>
      </c>
      <c r="U109" s="189">
        <v>39000</v>
      </c>
      <c r="V109" s="413">
        <v>5000</v>
      </c>
      <c r="W109" s="151"/>
      <c r="X109" s="49"/>
      <c r="Y109" s="49"/>
      <c r="AI109" s="387"/>
      <c r="AJ109" s="387"/>
      <c r="AK109" s="387"/>
    </row>
    <row r="110" spans="2:37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1"/>
      <c r="R110" s="45"/>
      <c r="S110" s="189">
        <v>25000001</v>
      </c>
      <c r="T110" s="189">
        <v>30000000</v>
      </c>
      <c r="U110" s="189">
        <v>40000</v>
      </c>
      <c r="V110" s="413">
        <v>5000</v>
      </c>
      <c r="W110" s="151"/>
      <c r="X110" s="49"/>
      <c r="Y110" s="49"/>
      <c r="AI110"/>
      <c r="AJ110" s="384"/>
      <c r="AK110" s="384"/>
    </row>
    <row r="111" spans="2:37" ht="16.5" customHeight="1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189">
        <v>30000001</v>
      </c>
      <c r="T111" s="510">
        <v>30000000</v>
      </c>
      <c r="U111" s="510">
        <v>40000</v>
      </c>
      <c r="V111" s="511">
        <v>5000</v>
      </c>
      <c r="W111" s="151"/>
      <c r="X111" s="49"/>
      <c r="AI111"/>
      <c r="AJ111"/>
      <c r="AK111"/>
    </row>
    <row r="112" spans="2:37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271"/>
      <c r="T112" s="271"/>
      <c r="U112" s="271"/>
      <c r="V112" s="486"/>
      <c r="W112" s="151"/>
      <c r="X112" s="49"/>
      <c r="AI112"/>
      <c r="AJ112"/>
      <c r="AK112"/>
    </row>
    <row r="113" spans="2:37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271"/>
      <c r="T113" s="271"/>
      <c r="U113" s="271"/>
      <c r="V113" s="486"/>
      <c r="W113" s="151"/>
      <c r="X113" s="49"/>
      <c r="AI113"/>
      <c r="AJ113"/>
      <c r="AK113"/>
    </row>
    <row r="114" spans="2:37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271"/>
      <c r="T114" s="271"/>
      <c r="U114" s="271"/>
      <c r="V114" s="486"/>
      <c r="W114" s="151"/>
      <c r="X114" s="49"/>
      <c r="AI114"/>
      <c r="AJ114"/>
      <c r="AK114"/>
    </row>
    <row r="115" spans="2:37" ht="19.5" customHeight="1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271"/>
      <c r="T115" s="271"/>
      <c r="U115" s="271"/>
      <c r="V115" s="486"/>
      <c r="W115" s="151"/>
      <c r="X115" s="49"/>
      <c r="AI115"/>
      <c r="AJ115"/>
      <c r="AK115"/>
    </row>
    <row r="116" spans="2:37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271"/>
      <c r="T116" s="271"/>
      <c r="U116" s="271"/>
      <c r="V116" s="486"/>
      <c r="W116" s="151"/>
      <c r="X116" s="49"/>
      <c r="AI116"/>
      <c r="AJ116"/>
      <c r="AK116"/>
    </row>
    <row r="117" spans="2:37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271"/>
      <c r="T117" s="271"/>
      <c r="U117" s="271"/>
      <c r="V117" s="486"/>
      <c r="W117" s="151"/>
      <c r="X117" s="49"/>
      <c r="AI117"/>
      <c r="AJ117"/>
      <c r="AK117"/>
    </row>
    <row r="118" spans="2:37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271"/>
      <c r="T118" s="271"/>
      <c r="U118" s="271"/>
      <c r="V118" s="486"/>
      <c r="W118" s="151"/>
      <c r="X118" s="49"/>
      <c r="AI118"/>
      <c r="AJ118"/>
      <c r="AK118"/>
    </row>
    <row r="119" spans="2:37" ht="13.5" customHeight="1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271"/>
      <c r="T119" s="271"/>
      <c r="U119" s="271"/>
      <c r="V119" s="486"/>
      <c r="W119" s="151"/>
      <c r="X119" s="49"/>
      <c r="AJ119"/>
      <c r="AK119"/>
    </row>
    <row r="120" spans="2:24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271"/>
      <c r="T120" s="271"/>
      <c r="U120" s="271"/>
      <c r="V120" s="486"/>
      <c r="W120" s="151"/>
      <c r="X120" s="49"/>
    </row>
    <row r="121" spans="2:24" ht="12.75" customHeight="1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"/>
      <c r="T121" s="3"/>
      <c r="U121" s="151"/>
      <c r="V121" s="486"/>
      <c r="W121" s="151"/>
      <c r="X121" s="49"/>
    </row>
    <row r="122" spans="2:24" ht="12.75" customHeight="1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270"/>
      <c r="T122" s="271"/>
      <c r="U122" s="270"/>
      <c r="V122" s="486"/>
      <c r="W122" s="151"/>
      <c r="X122" s="49"/>
    </row>
    <row r="123" spans="2:24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270"/>
      <c r="T123" s="271"/>
      <c r="U123" s="270"/>
      <c r="V123" s="486"/>
      <c r="W123" s="151"/>
      <c r="X123" s="49"/>
    </row>
    <row r="124" spans="2:24" ht="17.25" customHeight="1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270"/>
      <c r="T124" s="271"/>
      <c r="U124" s="270"/>
      <c r="V124" s="486"/>
      <c r="W124" s="151"/>
      <c r="X124" s="49"/>
    </row>
    <row r="125" spans="2:24" ht="12.75" customHeight="1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270"/>
      <c r="T125" s="271"/>
      <c r="U125" s="270"/>
      <c r="V125" s="486"/>
      <c r="W125" s="151"/>
      <c r="X125" s="49"/>
    </row>
    <row r="126" spans="2:24" ht="12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270"/>
      <c r="T126" s="271"/>
      <c r="U126" s="270"/>
      <c r="V126" s="486"/>
      <c r="W126" s="151"/>
      <c r="X126" s="49"/>
    </row>
    <row r="127" spans="2:24" ht="18" customHeight="1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270"/>
      <c r="T127" s="271"/>
      <c r="U127" s="270"/>
      <c r="V127" s="486"/>
      <c r="W127" s="151"/>
      <c r="X127" s="49"/>
    </row>
    <row r="128" spans="2:24" ht="12.75" customHeight="1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270"/>
      <c r="T128" s="271"/>
      <c r="U128" s="270"/>
      <c r="V128" s="486"/>
      <c r="W128" s="151"/>
      <c r="X128" s="49"/>
    </row>
    <row r="129" spans="2:24" ht="12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U129" s="49"/>
      <c r="V129" s="486"/>
      <c r="W129" s="151"/>
      <c r="X129" s="49"/>
    </row>
    <row r="130" spans="2:24" ht="12.75" customHeight="1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U130" s="49"/>
      <c r="V130" s="486"/>
      <c r="W130" s="151"/>
      <c r="X130" s="49"/>
    </row>
    <row r="131" spans="2:24" ht="12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U131" s="49"/>
      <c r="V131" s="486"/>
      <c r="W131" s="151"/>
      <c r="X131" s="49"/>
    </row>
    <row r="132" spans="2:24" ht="13.5" customHeight="1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U132" s="49"/>
      <c r="V132" s="486"/>
      <c r="W132" s="151"/>
      <c r="X132" s="49"/>
    </row>
    <row r="133" spans="2:24" ht="12.75" customHeight="1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U133" s="49"/>
      <c r="V133" s="486"/>
      <c r="W133" s="151"/>
      <c r="X133" s="49"/>
    </row>
    <row r="134" spans="2:24" ht="12.75" customHeight="1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U134" s="49"/>
      <c r="V134" s="486"/>
      <c r="W134" s="151"/>
      <c r="X134" s="49"/>
    </row>
    <row r="135" spans="2:32" ht="12.75" customHeight="1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U135" s="49"/>
      <c r="V135" s="486"/>
      <c r="W135" s="151"/>
      <c r="X135" s="49"/>
      <c r="AF135" s="1"/>
    </row>
    <row r="136" spans="2:32" ht="12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V136" s="486"/>
      <c r="W136" s="151"/>
      <c r="X136" s="49"/>
      <c r="AF136" s="1"/>
    </row>
    <row r="137" spans="2:32" ht="12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V137" s="486"/>
      <c r="W137" s="151"/>
      <c r="X137" s="49"/>
      <c r="AF137" s="1"/>
    </row>
    <row r="138" spans="2:32" ht="18.75" customHeight="1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V138" s="486"/>
      <c r="W138" s="151"/>
      <c r="X138" s="49"/>
      <c r="AF138" s="1"/>
    </row>
    <row r="139" spans="2:32" ht="18.75" customHeight="1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V139" s="486"/>
      <c r="W139" s="151"/>
      <c r="X139" s="49"/>
      <c r="AF139" s="1"/>
    </row>
    <row r="140" spans="2:24" ht="18.75" customHeight="1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V140" s="486"/>
      <c r="W140" s="151"/>
      <c r="X140" s="49"/>
    </row>
    <row r="141" spans="2:24" ht="12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V141" s="486"/>
      <c r="W141" s="151"/>
      <c r="X141" s="49"/>
    </row>
    <row r="142" spans="2:24" ht="12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V142" s="486"/>
      <c r="W142" s="151"/>
      <c r="X142" s="49"/>
    </row>
    <row r="143" spans="2:24" ht="12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V143" s="486"/>
      <c r="W143" s="151"/>
      <c r="X143" s="49"/>
    </row>
    <row r="144" spans="2:24" ht="12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V144" s="486"/>
      <c r="W144" s="151"/>
      <c r="X144" s="49"/>
    </row>
    <row r="145" spans="2:24" ht="12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V145" s="486"/>
      <c r="W145" s="151"/>
      <c r="X145" s="49"/>
    </row>
    <row r="146" spans="2:24" ht="12.75" customHeight="1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U146" s="49"/>
      <c r="V146" s="486"/>
      <c r="W146" s="151"/>
      <c r="X146" s="49"/>
    </row>
    <row r="147" spans="2:24" ht="12.75" customHeight="1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U147" s="49"/>
      <c r="V147" s="486"/>
      <c r="W147" s="151"/>
      <c r="X147" s="49"/>
    </row>
    <row r="148" spans="2:24" ht="12.75" customHeight="1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U148" s="49"/>
      <c r="V148" s="486"/>
      <c r="W148" s="151"/>
      <c r="X148" s="49"/>
    </row>
    <row r="149" spans="2:24" ht="12.75" customHeight="1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U149" s="49"/>
      <c r="V149" s="486"/>
      <c r="W149" s="151"/>
      <c r="X149" s="49"/>
    </row>
    <row r="150" spans="2:32" ht="12.75" customHeight="1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U150" s="49"/>
      <c r="V150" s="486"/>
      <c r="W150" s="151"/>
      <c r="X150" s="49"/>
      <c r="AF150" s="1"/>
    </row>
    <row r="151" spans="2:32" ht="12.75" customHeight="1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U151" s="49"/>
      <c r="V151" s="49"/>
      <c r="W151" s="49"/>
      <c r="X151" s="49"/>
      <c r="Y151" s="49"/>
      <c r="AF151" s="1"/>
    </row>
    <row r="152" spans="2:32" ht="12.75" customHeight="1">
      <c r="B152" s="45"/>
      <c r="N152" s="45"/>
      <c r="O152" s="45"/>
      <c r="P152" s="45"/>
      <c r="Q152" s="45"/>
      <c r="R152" s="45"/>
      <c r="U152" s="49"/>
      <c r="V152" s="49"/>
      <c r="W152" s="49"/>
      <c r="X152" s="49"/>
      <c r="Y152" s="49"/>
      <c r="AF152" s="1"/>
    </row>
    <row r="153" spans="2:32" ht="12.75" customHeight="1">
      <c r="B153" s="45"/>
      <c r="N153" s="45"/>
      <c r="O153" s="45"/>
      <c r="P153" s="45"/>
      <c r="Q153" s="45"/>
      <c r="R153" s="45"/>
      <c r="U153" s="49"/>
      <c r="V153" s="49"/>
      <c r="W153" s="49"/>
      <c r="X153" s="49"/>
      <c r="Y153" s="49"/>
      <c r="AF153" s="1"/>
    </row>
    <row r="154" spans="2:32" ht="12.75" customHeight="1">
      <c r="B154" s="45"/>
      <c r="N154" s="45"/>
      <c r="O154" s="45"/>
      <c r="P154" s="45"/>
      <c r="Q154" s="45"/>
      <c r="R154" s="45"/>
      <c r="U154" s="49"/>
      <c r="V154" s="49"/>
      <c r="W154" s="49"/>
      <c r="X154" s="49"/>
      <c r="Y154" s="49"/>
      <c r="AF154" s="1"/>
    </row>
    <row r="155" spans="2:32" ht="12.75" customHeight="1">
      <c r="B155" s="45"/>
      <c r="N155" s="45"/>
      <c r="O155" s="45"/>
      <c r="P155" s="45"/>
      <c r="Q155" s="45"/>
      <c r="R155" s="45"/>
      <c r="U155" s="49"/>
      <c r="V155" s="49"/>
      <c r="W155" s="49"/>
      <c r="X155" s="49"/>
      <c r="Y155" s="49"/>
      <c r="AF155" s="1"/>
    </row>
    <row r="156" spans="2:32" ht="12.75" customHeight="1">
      <c r="B156" s="45"/>
      <c r="N156" s="45"/>
      <c r="O156" s="45"/>
      <c r="P156" s="45"/>
      <c r="Q156" s="45"/>
      <c r="R156" s="45"/>
      <c r="U156" s="49"/>
      <c r="V156" s="49"/>
      <c r="W156" s="49"/>
      <c r="X156" s="49"/>
      <c r="Y156" s="49"/>
      <c r="AF156" s="1"/>
    </row>
    <row r="157" spans="2:32" ht="25.5" customHeight="1">
      <c r="B157" s="45"/>
      <c r="N157" s="45"/>
      <c r="O157" s="45"/>
      <c r="P157" s="45"/>
      <c r="Q157" s="45"/>
      <c r="R157" s="45"/>
      <c r="U157" s="49"/>
      <c r="V157" s="49"/>
      <c r="W157" s="49"/>
      <c r="X157" s="49"/>
      <c r="Y157" s="49"/>
      <c r="AC157" s="1"/>
      <c r="AD157" s="1"/>
      <c r="AE157" s="1"/>
      <c r="AF157" s="1"/>
    </row>
    <row r="158" spans="2:32" ht="12.75" customHeight="1">
      <c r="B158" s="45"/>
      <c r="N158" s="45"/>
      <c r="O158" s="45"/>
      <c r="P158" s="45"/>
      <c r="Q158" s="45"/>
      <c r="R158" s="45"/>
      <c r="U158" s="49"/>
      <c r="V158" s="49"/>
      <c r="W158" s="49"/>
      <c r="X158" s="49"/>
      <c r="Y158" s="49"/>
      <c r="AC158" s="1"/>
      <c r="AD158" s="1"/>
      <c r="AE158" s="1"/>
      <c r="AF158" s="1"/>
    </row>
    <row r="159" spans="2:32" ht="12.75" customHeight="1">
      <c r="B159" s="45"/>
      <c r="N159" s="45"/>
      <c r="O159" s="45"/>
      <c r="P159" s="45"/>
      <c r="Q159" s="45"/>
      <c r="R159" s="45"/>
      <c r="U159" s="49"/>
      <c r="V159" s="49"/>
      <c r="W159" s="49"/>
      <c r="X159" s="49"/>
      <c r="Y159" s="49"/>
      <c r="AC159" s="1"/>
      <c r="AD159" s="1"/>
      <c r="AE159" s="1"/>
      <c r="AF159" s="1"/>
    </row>
    <row r="160" spans="2:32" ht="12.75" customHeight="1">
      <c r="B160" s="45"/>
      <c r="N160" s="45"/>
      <c r="O160" s="45"/>
      <c r="P160" s="45"/>
      <c r="Q160" s="45"/>
      <c r="R160" s="45"/>
      <c r="U160" s="49"/>
      <c r="V160" s="49"/>
      <c r="W160" s="49"/>
      <c r="X160" s="49"/>
      <c r="Y160" s="49"/>
      <c r="AC160" s="1"/>
      <c r="AD160" s="1"/>
      <c r="AE160" s="1"/>
      <c r="AF160" s="1"/>
    </row>
    <row r="161" spans="2:32" ht="12.75" customHeight="1">
      <c r="B161" s="45"/>
      <c r="N161" s="45"/>
      <c r="O161" s="45"/>
      <c r="P161" s="45"/>
      <c r="Q161" s="45"/>
      <c r="R161" s="45"/>
      <c r="U161" s="49"/>
      <c r="V161" s="49"/>
      <c r="W161" s="49"/>
      <c r="X161" s="49"/>
      <c r="Y161" s="49"/>
      <c r="AC161" s="1"/>
      <c r="AD161" s="1"/>
      <c r="AE161" s="1"/>
      <c r="AF161" s="1"/>
    </row>
    <row r="162" spans="2:32" ht="12.75" customHeight="1">
      <c r="B162" s="45"/>
      <c r="N162" s="45"/>
      <c r="O162" s="45"/>
      <c r="P162" s="45"/>
      <c r="Q162" s="45"/>
      <c r="R162" s="45"/>
      <c r="U162" s="49"/>
      <c r="V162" s="49"/>
      <c r="W162" s="49"/>
      <c r="X162" s="49"/>
      <c r="Y162" s="49"/>
      <c r="AC162" s="1"/>
      <c r="AD162" s="1"/>
      <c r="AE162" s="1"/>
      <c r="AF162" s="1"/>
    </row>
    <row r="163" spans="2:32" ht="12.75" customHeight="1">
      <c r="B163" s="45"/>
      <c r="N163" s="45"/>
      <c r="O163" s="45"/>
      <c r="P163" s="45"/>
      <c r="Q163" s="45"/>
      <c r="R163" s="45"/>
      <c r="U163" s="49"/>
      <c r="V163" s="49"/>
      <c r="W163" s="49"/>
      <c r="X163" s="49"/>
      <c r="Y163" s="49"/>
      <c r="AC163" s="1"/>
      <c r="AD163" s="1"/>
      <c r="AE163" s="1"/>
      <c r="AF163" s="1"/>
    </row>
    <row r="164" spans="2:32" ht="12.75" customHeight="1">
      <c r="B164" s="45"/>
      <c r="N164" s="45"/>
      <c r="O164" s="45"/>
      <c r="P164" s="45"/>
      <c r="Q164" s="45"/>
      <c r="R164" s="45"/>
      <c r="U164" s="49"/>
      <c r="V164" s="49"/>
      <c r="W164" s="49"/>
      <c r="X164" s="49"/>
      <c r="Y164" s="49"/>
      <c r="AC164" s="1"/>
      <c r="AD164" s="1"/>
      <c r="AE164" s="1"/>
      <c r="AF164" s="1"/>
    </row>
    <row r="165" spans="2:32" ht="12.75" customHeight="1">
      <c r="B165" s="45"/>
      <c r="N165" s="45"/>
      <c r="O165" s="45"/>
      <c r="P165" s="45"/>
      <c r="Q165" s="45"/>
      <c r="R165" s="45"/>
      <c r="U165" s="49"/>
      <c r="V165" s="49"/>
      <c r="W165" s="49"/>
      <c r="X165" s="49"/>
      <c r="Y165" s="49"/>
      <c r="AC165" s="1"/>
      <c r="AD165" s="1"/>
      <c r="AE165" s="1"/>
      <c r="AF165" s="1"/>
    </row>
    <row r="166" spans="2:32" ht="12.75" customHeight="1">
      <c r="B166" s="45"/>
      <c r="N166" s="45"/>
      <c r="O166" s="45"/>
      <c r="P166" s="45"/>
      <c r="Q166" s="45"/>
      <c r="R166" s="45"/>
      <c r="U166" s="49"/>
      <c r="V166" s="49"/>
      <c r="W166" s="49"/>
      <c r="X166" s="49"/>
      <c r="Y166" s="49"/>
      <c r="AC166" s="1"/>
      <c r="AD166" s="1"/>
      <c r="AE166" s="1"/>
      <c r="AF166" s="1"/>
    </row>
    <row r="167" spans="2:32" ht="12.75" customHeight="1">
      <c r="B167" s="45"/>
      <c r="N167" s="45"/>
      <c r="O167" s="45"/>
      <c r="P167" s="45"/>
      <c r="Q167" s="45"/>
      <c r="R167" s="45"/>
      <c r="U167" s="49"/>
      <c r="V167" s="49"/>
      <c r="W167" s="49"/>
      <c r="X167" s="49"/>
      <c r="Y167" s="49"/>
      <c r="AC167" s="1"/>
      <c r="AD167" s="1"/>
      <c r="AE167" s="1"/>
      <c r="AF167" s="1"/>
    </row>
    <row r="168" spans="2:32" ht="12.75" customHeight="1">
      <c r="B168" s="45"/>
      <c r="N168" s="45"/>
      <c r="O168" s="45"/>
      <c r="P168" s="45"/>
      <c r="Q168" s="45"/>
      <c r="R168" s="45"/>
      <c r="U168" s="49"/>
      <c r="V168" s="49"/>
      <c r="W168" s="49"/>
      <c r="X168" s="49"/>
      <c r="Y168" s="49"/>
      <c r="AC168" s="1"/>
      <c r="AD168" s="1"/>
      <c r="AE168" s="1"/>
      <c r="AF168" s="1"/>
    </row>
    <row r="169" spans="2:32" ht="12.75" customHeight="1">
      <c r="B169" s="45"/>
      <c r="N169" s="45"/>
      <c r="O169" s="45"/>
      <c r="P169" s="45"/>
      <c r="Q169" s="45"/>
      <c r="R169" s="45"/>
      <c r="U169" s="49"/>
      <c r="V169" s="49"/>
      <c r="W169" s="49"/>
      <c r="X169" s="49"/>
      <c r="Y169" s="49"/>
      <c r="AC169" s="1"/>
      <c r="AD169" s="1"/>
      <c r="AE169" s="1"/>
      <c r="AF169" s="1"/>
    </row>
    <row r="170" spans="2:31" ht="12.75" customHeight="1">
      <c r="B170" s="45"/>
      <c r="N170" s="45"/>
      <c r="O170" s="45"/>
      <c r="P170" s="45"/>
      <c r="Q170" s="45"/>
      <c r="R170" s="45"/>
      <c r="U170" s="49"/>
      <c r="V170" s="49"/>
      <c r="W170" s="49"/>
      <c r="X170" s="49"/>
      <c r="Y170" s="49"/>
      <c r="AC170" s="1"/>
      <c r="AD170" s="1"/>
      <c r="AE170" s="1"/>
    </row>
    <row r="171" spans="2:31" ht="12.75" customHeight="1">
      <c r="B171" s="45"/>
      <c r="N171" s="45"/>
      <c r="O171" s="45"/>
      <c r="P171" s="45"/>
      <c r="Q171" s="45"/>
      <c r="R171" s="45"/>
      <c r="U171" s="49"/>
      <c r="V171" s="49"/>
      <c r="W171" s="49"/>
      <c r="X171" s="49"/>
      <c r="Y171" s="49"/>
      <c r="AC171" s="1"/>
      <c r="AD171" s="1"/>
      <c r="AE171" s="1"/>
    </row>
    <row r="172" spans="2:31" ht="12.75" customHeight="1">
      <c r="B172" s="45"/>
      <c r="N172" s="45"/>
      <c r="O172" s="45"/>
      <c r="P172" s="45"/>
      <c r="Q172" s="45"/>
      <c r="R172" s="45"/>
      <c r="U172" s="49"/>
      <c r="V172" s="49"/>
      <c r="W172" s="49"/>
      <c r="X172" s="49"/>
      <c r="Y172" s="49"/>
      <c r="AC172" s="1"/>
      <c r="AD172" s="1"/>
      <c r="AE172" s="1"/>
    </row>
    <row r="173" spans="2:31" ht="12.75" customHeight="1">
      <c r="B173" s="45"/>
      <c r="N173" s="45"/>
      <c r="O173" s="45"/>
      <c r="P173" s="45"/>
      <c r="Q173" s="45"/>
      <c r="R173" s="45"/>
      <c r="U173" s="49"/>
      <c r="V173" s="49"/>
      <c r="W173" s="49"/>
      <c r="X173" s="49"/>
      <c r="Y173" s="49"/>
      <c r="AC173" s="1"/>
      <c r="AD173" s="1"/>
      <c r="AE173" s="1"/>
    </row>
    <row r="174" spans="2:31" ht="12.75" customHeight="1">
      <c r="B174" s="45"/>
      <c r="N174" s="45"/>
      <c r="O174" s="45"/>
      <c r="P174" s="45"/>
      <c r="Q174" s="45"/>
      <c r="R174" s="45"/>
      <c r="U174" s="49"/>
      <c r="V174" s="49"/>
      <c r="W174" s="49"/>
      <c r="X174" s="49"/>
      <c r="Y174" s="49"/>
      <c r="AC174" s="1"/>
      <c r="AD174" s="1"/>
      <c r="AE174" s="1"/>
    </row>
    <row r="175" spans="2:31" ht="12.75" customHeight="1">
      <c r="B175" s="45"/>
      <c r="N175" s="45"/>
      <c r="O175" s="45"/>
      <c r="P175" s="45"/>
      <c r="Q175" s="45"/>
      <c r="R175" s="45"/>
      <c r="U175" s="49"/>
      <c r="V175" s="49"/>
      <c r="W175" s="49"/>
      <c r="X175" s="49"/>
      <c r="Y175" s="49"/>
      <c r="AC175" s="1"/>
      <c r="AD175" s="1"/>
      <c r="AE175" s="1"/>
    </row>
    <row r="176" spans="2:31" ht="12.75" customHeight="1">
      <c r="B176" s="45"/>
      <c r="N176" s="45"/>
      <c r="O176" s="45"/>
      <c r="P176" s="45"/>
      <c r="Q176" s="45"/>
      <c r="R176" s="45"/>
      <c r="U176" s="49"/>
      <c r="V176" s="49"/>
      <c r="W176" s="49"/>
      <c r="X176" s="49"/>
      <c r="Y176" s="49"/>
      <c r="AC176" s="1"/>
      <c r="AD176" s="1"/>
      <c r="AE176" s="1"/>
    </row>
    <row r="177" spans="2:25" ht="12.75" customHeight="1">
      <c r="B177" s="45"/>
      <c r="N177" s="45"/>
      <c r="O177" s="45"/>
      <c r="P177" s="45"/>
      <c r="Q177" s="45"/>
      <c r="R177" s="45"/>
      <c r="U177" s="49"/>
      <c r="V177" s="49"/>
      <c r="W177" s="49"/>
      <c r="X177" s="49"/>
      <c r="Y177" s="49"/>
    </row>
    <row r="178" spans="2:25" ht="12.75" customHeight="1">
      <c r="B178" s="45"/>
      <c r="N178" s="45"/>
      <c r="O178" s="45"/>
      <c r="P178" s="45"/>
      <c r="Q178" s="45"/>
      <c r="R178" s="45"/>
      <c r="U178" s="49"/>
      <c r="V178" s="49"/>
      <c r="W178" s="49"/>
      <c r="X178" s="49"/>
      <c r="Y178" s="49"/>
    </row>
    <row r="179" spans="2:25" ht="12.75" customHeight="1">
      <c r="B179" s="45"/>
      <c r="N179" s="45"/>
      <c r="O179" s="45"/>
      <c r="P179" s="45"/>
      <c r="Q179" s="45"/>
      <c r="R179" s="45"/>
      <c r="U179" s="49"/>
      <c r="V179" s="49"/>
      <c r="W179" s="49"/>
      <c r="X179" s="49"/>
      <c r="Y179" s="49"/>
    </row>
    <row r="180" spans="2:25" ht="12.75" customHeight="1">
      <c r="B180" s="45"/>
      <c r="N180" s="45"/>
      <c r="O180" s="45"/>
      <c r="P180" s="45"/>
      <c r="Q180" s="45"/>
      <c r="R180" s="45"/>
      <c r="U180" s="49"/>
      <c r="V180" s="49"/>
      <c r="W180" s="49"/>
      <c r="X180" s="49"/>
      <c r="Y180" s="49"/>
    </row>
    <row r="181" spans="2:25" ht="12.75" customHeight="1">
      <c r="B181" s="45"/>
      <c r="N181" s="45"/>
      <c r="O181" s="45"/>
      <c r="P181" s="45"/>
      <c r="Q181" s="45"/>
      <c r="R181" s="45"/>
      <c r="U181" s="49"/>
      <c r="V181" s="49"/>
      <c r="W181" s="49"/>
      <c r="X181" s="49"/>
      <c r="Y181" s="49"/>
    </row>
    <row r="182" spans="2:30" ht="12.75" customHeight="1">
      <c r="B182" s="45"/>
      <c r="N182" s="45"/>
      <c r="O182" s="45"/>
      <c r="P182" s="45"/>
      <c r="Q182" s="45"/>
      <c r="R182" s="45"/>
      <c r="U182" s="49"/>
      <c r="V182" s="49"/>
      <c r="W182" s="49"/>
      <c r="X182" s="49"/>
      <c r="Y182" s="50"/>
      <c r="Z182" s="50"/>
      <c r="AA182" s="50"/>
      <c r="AB182" s="50"/>
      <c r="AC182" s="50"/>
      <c r="AD182" s="50"/>
    </row>
    <row r="183" spans="2:30" ht="12.75" customHeight="1">
      <c r="B183" s="45"/>
      <c r="N183" s="45"/>
      <c r="O183" s="45"/>
      <c r="P183" s="45"/>
      <c r="Q183" s="45"/>
      <c r="R183" s="45"/>
      <c r="U183" s="49"/>
      <c r="V183" s="49"/>
      <c r="W183" s="49"/>
      <c r="X183" s="49"/>
      <c r="Y183" s="50"/>
      <c r="Z183" s="50"/>
      <c r="AA183" s="50"/>
      <c r="AB183" s="50"/>
      <c r="AC183" s="50"/>
      <c r="AD183" s="50"/>
    </row>
    <row r="184" spans="2:30" ht="12.75" customHeight="1">
      <c r="B184" s="45"/>
      <c r="N184" s="45"/>
      <c r="O184" s="45"/>
      <c r="P184" s="45"/>
      <c r="Q184" s="45"/>
      <c r="R184" s="45"/>
      <c r="U184" s="49"/>
      <c r="V184" s="49"/>
      <c r="W184" s="49"/>
      <c r="X184" s="49"/>
      <c r="Y184" s="50"/>
      <c r="Z184" s="50"/>
      <c r="AA184" s="50"/>
      <c r="AB184" s="50"/>
      <c r="AC184" s="50"/>
      <c r="AD184" s="50"/>
    </row>
    <row r="185" spans="2:30" ht="12.75" customHeight="1">
      <c r="B185" s="45"/>
      <c r="N185" s="45"/>
      <c r="O185" s="45"/>
      <c r="P185" s="45"/>
      <c r="Q185" s="45"/>
      <c r="R185" s="45"/>
      <c r="U185" s="49"/>
      <c r="V185" s="49"/>
      <c r="W185" s="49"/>
      <c r="X185" s="49"/>
      <c r="Y185" s="50"/>
      <c r="Z185" s="50"/>
      <c r="AA185" s="50"/>
      <c r="AB185" s="50"/>
      <c r="AC185" s="50"/>
      <c r="AD185" s="50"/>
    </row>
    <row r="186" spans="2:30" ht="12.75" customHeight="1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U186" s="49"/>
      <c r="V186" s="49"/>
      <c r="W186" s="49"/>
      <c r="X186" s="49"/>
      <c r="Y186" s="50"/>
      <c r="Z186" s="50"/>
      <c r="AA186" s="50"/>
      <c r="AB186" s="50"/>
      <c r="AC186" s="50"/>
      <c r="AD186" s="50"/>
    </row>
    <row r="187" spans="2:30" ht="12.75" customHeight="1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U187" s="49"/>
      <c r="V187" s="49"/>
      <c r="W187" s="49"/>
      <c r="X187" s="49"/>
      <c r="Y187" s="50"/>
      <c r="Z187" s="50"/>
      <c r="AA187" s="50"/>
      <c r="AB187" s="50"/>
      <c r="AC187" s="50"/>
      <c r="AD187" s="50"/>
    </row>
    <row r="188" spans="2:30" ht="12.75" customHeight="1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U188" s="49"/>
      <c r="V188" s="49"/>
      <c r="W188" s="49"/>
      <c r="X188" s="49"/>
      <c r="Y188" s="50"/>
      <c r="Z188" s="50"/>
      <c r="AA188" s="50"/>
      <c r="AB188" s="50"/>
      <c r="AC188" s="50"/>
      <c r="AD188" s="50"/>
    </row>
    <row r="189" spans="2:30" ht="12.75" customHeight="1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U189" s="49"/>
      <c r="V189" s="49"/>
      <c r="W189" s="49"/>
      <c r="X189" s="49"/>
      <c r="Y189" s="50"/>
      <c r="Z189" s="50"/>
      <c r="AA189" s="50"/>
      <c r="AB189" s="50"/>
      <c r="AC189" s="50"/>
      <c r="AD189" s="50"/>
    </row>
    <row r="190" spans="2:30" ht="12.75" customHeight="1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U190" s="49"/>
      <c r="V190" s="49"/>
      <c r="W190" s="49"/>
      <c r="X190" s="49"/>
      <c r="Y190" s="50"/>
      <c r="Z190" s="50"/>
      <c r="AA190" s="50"/>
      <c r="AB190" s="50"/>
      <c r="AC190" s="50"/>
      <c r="AD190" s="50"/>
    </row>
    <row r="191" spans="2:30" ht="12.75" customHeight="1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U191" s="49"/>
      <c r="V191" s="49"/>
      <c r="W191" s="49"/>
      <c r="X191" s="49"/>
      <c r="Y191" s="50"/>
      <c r="Z191" s="50"/>
      <c r="AA191" s="50"/>
      <c r="AB191" s="50"/>
      <c r="AC191" s="50"/>
      <c r="AD191" s="50"/>
    </row>
    <row r="192" spans="2:30" ht="12.75" customHeight="1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U192" s="49"/>
      <c r="V192" s="49"/>
      <c r="W192" s="49"/>
      <c r="X192" s="49"/>
      <c r="Y192" s="50"/>
      <c r="Z192" s="50"/>
      <c r="AA192" s="50"/>
      <c r="AB192" s="50"/>
      <c r="AC192" s="50"/>
      <c r="AD192" s="50"/>
    </row>
    <row r="193" spans="2:30" ht="12.75" customHeight="1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U193" s="49"/>
      <c r="V193" s="49"/>
      <c r="W193" s="49"/>
      <c r="X193" s="49"/>
      <c r="Y193" s="50"/>
      <c r="Z193" s="50"/>
      <c r="AA193" s="50"/>
      <c r="AB193" s="50"/>
      <c r="AC193" s="50"/>
      <c r="AD193" s="50"/>
    </row>
    <row r="194" spans="2:30" ht="12.75" customHeight="1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U194" s="49"/>
      <c r="V194" s="49"/>
      <c r="W194" s="49"/>
      <c r="X194" s="49"/>
      <c r="Y194" s="50"/>
      <c r="Z194" s="50"/>
      <c r="AA194" s="50"/>
      <c r="AB194" s="50"/>
      <c r="AC194" s="50"/>
      <c r="AD194" s="50"/>
    </row>
    <row r="195" spans="2:30" ht="12.75" customHeight="1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U195" s="49"/>
      <c r="V195" s="49"/>
      <c r="W195" s="49"/>
      <c r="X195" s="49"/>
      <c r="Y195" s="50"/>
      <c r="Z195" s="50"/>
      <c r="AA195" s="50"/>
      <c r="AB195" s="50"/>
      <c r="AC195" s="50"/>
      <c r="AD195" s="50"/>
    </row>
    <row r="196" spans="2:30" ht="12.75" customHeight="1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U196" s="49"/>
      <c r="V196" s="49"/>
      <c r="W196" s="49"/>
      <c r="X196" s="49"/>
      <c r="Y196" s="50"/>
      <c r="Z196" s="50"/>
      <c r="AA196" s="50"/>
      <c r="AB196" s="50"/>
      <c r="AC196" s="50"/>
      <c r="AD196" s="50"/>
    </row>
    <row r="197" spans="2:30" ht="12.75" customHeight="1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U197" s="49"/>
      <c r="V197" s="49"/>
      <c r="W197" s="49"/>
      <c r="X197" s="49"/>
      <c r="Y197" s="50"/>
      <c r="Z197" s="50"/>
      <c r="AA197" s="50"/>
      <c r="AB197" s="50"/>
      <c r="AC197" s="50"/>
      <c r="AD197" s="50"/>
    </row>
    <row r="198" spans="2:30" ht="12.75" customHeight="1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U198" s="49"/>
      <c r="V198" s="49"/>
      <c r="W198" s="49"/>
      <c r="X198" s="49"/>
      <c r="Y198" s="50"/>
      <c r="Z198" s="50"/>
      <c r="AA198" s="50"/>
      <c r="AB198" s="50"/>
      <c r="AC198" s="50"/>
      <c r="AD198" s="50"/>
    </row>
    <row r="199" spans="2:30" ht="12.75" customHeight="1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U199" s="49"/>
      <c r="V199" s="49"/>
      <c r="W199" s="49"/>
      <c r="X199" s="49"/>
      <c r="Y199" s="50"/>
      <c r="Z199" s="50"/>
      <c r="AA199" s="50"/>
      <c r="AB199" s="50"/>
      <c r="AC199" s="50"/>
      <c r="AD199" s="50"/>
    </row>
    <row r="200" spans="2:30" ht="12.75" customHeight="1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U200" s="49"/>
      <c r="V200" s="49"/>
      <c r="W200" s="49"/>
      <c r="X200" s="49"/>
      <c r="Y200" s="50"/>
      <c r="Z200" s="50"/>
      <c r="AA200" s="50"/>
      <c r="AB200" s="50"/>
      <c r="AC200" s="50"/>
      <c r="AD200" s="50"/>
    </row>
    <row r="201" spans="2:30" ht="12.75" customHeight="1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U201" s="49"/>
      <c r="V201" s="49"/>
      <c r="W201" s="49"/>
      <c r="X201" s="49"/>
      <c r="Y201" s="50"/>
      <c r="Z201" s="50"/>
      <c r="AA201" s="50"/>
      <c r="AB201" s="50"/>
      <c r="AC201" s="50"/>
      <c r="AD201" s="50"/>
    </row>
    <row r="202" spans="2:30" ht="12.75" customHeight="1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U202" s="49"/>
      <c r="V202" s="49"/>
      <c r="W202" s="49"/>
      <c r="X202" s="49"/>
      <c r="Y202" s="50"/>
      <c r="Z202" s="50"/>
      <c r="AA202" s="50"/>
      <c r="AB202" s="50"/>
      <c r="AC202" s="50"/>
      <c r="AD202" s="50"/>
    </row>
    <row r="203" spans="2:30" ht="12.75" customHeight="1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U203" s="49"/>
      <c r="V203" s="49"/>
      <c r="W203" s="49"/>
      <c r="X203" s="49"/>
      <c r="Y203" s="50"/>
      <c r="Z203" s="50"/>
      <c r="AA203" s="50"/>
      <c r="AB203" s="50"/>
      <c r="AC203" s="50"/>
      <c r="AD203" s="50"/>
    </row>
    <row r="204" spans="2:30" ht="12.75" customHeight="1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U204" s="49"/>
      <c r="V204" s="49"/>
      <c r="W204" s="49"/>
      <c r="X204" s="49"/>
      <c r="Y204" s="50"/>
      <c r="Z204" s="50"/>
      <c r="AA204" s="50"/>
      <c r="AB204" s="50"/>
      <c r="AC204" s="50"/>
      <c r="AD204" s="50"/>
    </row>
    <row r="205" spans="2:30" ht="12.75" customHeight="1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U205" s="49"/>
      <c r="V205" s="49"/>
      <c r="W205" s="49"/>
      <c r="X205" s="49"/>
      <c r="Y205" s="50"/>
      <c r="Z205" s="50"/>
      <c r="AA205" s="50"/>
      <c r="AB205" s="50"/>
      <c r="AC205" s="50"/>
      <c r="AD205" s="50"/>
    </row>
    <row r="206" spans="2:30" ht="12.75" customHeight="1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U206" s="49"/>
      <c r="V206" s="49"/>
      <c r="W206" s="49"/>
      <c r="X206" s="49"/>
      <c r="Y206" s="50"/>
      <c r="Z206" s="50"/>
      <c r="AA206" s="50"/>
      <c r="AB206" s="50"/>
      <c r="AC206" s="50"/>
      <c r="AD206" s="50"/>
    </row>
    <row r="207" spans="2:30" ht="12.75" customHeight="1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U207" s="49"/>
      <c r="V207" s="49"/>
      <c r="W207" s="49"/>
      <c r="X207" s="49"/>
      <c r="Y207" s="50"/>
      <c r="Z207" s="50"/>
      <c r="AA207" s="50"/>
      <c r="AB207" s="50"/>
      <c r="AC207" s="50"/>
      <c r="AD207" s="50"/>
    </row>
    <row r="208" spans="2:30" ht="12.75" customHeight="1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U208" s="49"/>
      <c r="V208" s="49"/>
      <c r="W208" s="49"/>
      <c r="X208" s="49"/>
      <c r="Y208" s="50"/>
      <c r="Z208" s="50"/>
      <c r="AA208" s="50"/>
      <c r="AB208" s="50"/>
      <c r="AC208" s="50"/>
      <c r="AD208" s="50"/>
    </row>
    <row r="209" spans="2:30" ht="12.75" customHeight="1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U209" s="49"/>
      <c r="V209" s="49"/>
      <c r="W209" s="49"/>
      <c r="X209" s="49"/>
      <c r="Y209" s="50"/>
      <c r="Z209" s="50"/>
      <c r="AA209" s="50"/>
      <c r="AB209" s="50"/>
      <c r="AC209" s="50"/>
      <c r="AD209" s="50"/>
    </row>
    <row r="210" spans="2:30" ht="12.75" customHeight="1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U210" s="49"/>
      <c r="V210" s="49"/>
      <c r="W210" s="49"/>
      <c r="X210" s="49"/>
      <c r="Y210" s="50"/>
      <c r="Z210" s="50"/>
      <c r="AA210" s="50"/>
      <c r="AB210" s="50"/>
      <c r="AC210" s="50"/>
      <c r="AD210" s="50"/>
    </row>
    <row r="211" spans="2:30" ht="12.75" customHeight="1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U211" s="49"/>
      <c r="V211" s="49"/>
      <c r="W211" s="49"/>
      <c r="X211" s="49"/>
      <c r="Y211" s="50"/>
      <c r="Z211" s="50"/>
      <c r="AA211" s="50"/>
      <c r="AB211" s="50"/>
      <c r="AC211" s="50"/>
      <c r="AD211" s="50"/>
    </row>
    <row r="212" spans="2:30" ht="12.75" customHeight="1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U212" s="49"/>
      <c r="V212" s="49"/>
      <c r="W212" s="49"/>
      <c r="X212" s="49"/>
      <c r="Y212" s="50"/>
      <c r="Z212" s="50"/>
      <c r="AA212" s="50"/>
      <c r="AB212" s="50"/>
      <c r="AC212" s="50"/>
      <c r="AD212" s="50"/>
    </row>
    <row r="213" spans="2:30" ht="12.75" customHeight="1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U213" s="49"/>
      <c r="V213" s="49"/>
      <c r="W213" s="49"/>
      <c r="X213" s="49"/>
      <c r="Y213" s="50"/>
      <c r="Z213" s="50"/>
      <c r="AA213" s="50"/>
      <c r="AB213" s="50"/>
      <c r="AC213" s="50"/>
      <c r="AD213" s="50"/>
    </row>
    <row r="214" spans="2:30" ht="12.75" customHeight="1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U214" s="49"/>
      <c r="V214" s="49"/>
      <c r="W214" s="49"/>
      <c r="X214" s="49"/>
      <c r="Y214" s="50"/>
      <c r="Z214" s="50"/>
      <c r="AA214" s="50"/>
      <c r="AB214" s="50"/>
      <c r="AC214" s="50"/>
      <c r="AD214" s="50"/>
    </row>
    <row r="215" spans="2:30" ht="12.75" customHeight="1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U215" s="49"/>
      <c r="V215" s="49"/>
      <c r="W215" s="49"/>
      <c r="X215" s="49"/>
      <c r="Y215" s="50"/>
      <c r="Z215" s="50"/>
      <c r="AA215" s="50"/>
      <c r="AB215" s="50"/>
      <c r="AC215" s="50"/>
      <c r="AD215" s="50"/>
    </row>
    <row r="216" spans="2:30" ht="12.75" customHeight="1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U216" s="49"/>
      <c r="V216" s="49"/>
      <c r="W216" s="49"/>
      <c r="X216" s="49"/>
      <c r="Y216" s="50"/>
      <c r="Z216" s="50"/>
      <c r="AA216" s="50"/>
      <c r="AB216" s="50"/>
      <c r="AC216" s="50"/>
      <c r="AD216" s="50"/>
    </row>
    <row r="217" spans="2:30" ht="12.75" customHeight="1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U217" s="49"/>
      <c r="V217" s="49"/>
      <c r="W217" s="49"/>
      <c r="X217" s="49"/>
      <c r="Y217" s="50"/>
      <c r="Z217" s="50"/>
      <c r="AA217" s="50"/>
      <c r="AB217" s="50"/>
      <c r="AC217" s="50"/>
      <c r="AD217" s="50"/>
    </row>
    <row r="218" spans="2:30" ht="12.75" customHeight="1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U218" s="49"/>
      <c r="V218" s="49"/>
      <c r="W218" s="49"/>
      <c r="X218" s="49"/>
      <c r="Y218" s="50"/>
      <c r="Z218" s="50"/>
      <c r="AA218" s="50"/>
      <c r="AB218" s="50"/>
      <c r="AC218" s="50"/>
      <c r="AD218" s="50"/>
    </row>
    <row r="219" spans="2:30" ht="12.75" customHeight="1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U219" s="49"/>
      <c r="V219" s="49"/>
      <c r="W219" s="49"/>
      <c r="X219" s="45"/>
      <c r="Y219" s="50"/>
      <c r="Z219" s="50"/>
      <c r="AA219" s="50"/>
      <c r="AB219" s="50"/>
      <c r="AC219" s="50"/>
      <c r="AD219" s="50"/>
    </row>
    <row r="220" spans="2:30" ht="12.75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U220" s="49"/>
      <c r="V220" s="49"/>
      <c r="W220" s="49"/>
      <c r="X220" s="45"/>
      <c r="Y220" s="50"/>
      <c r="Z220" s="50"/>
      <c r="AA220" s="50"/>
      <c r="AB220" s="50"/>
      <c r="AC220" s="50"/>
      <c r="AD220" s="50"/>
    </row>
    <row r="221" spans="2:30" ht="12.75" customHeight="1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U221" s="49"/>
      <c r="V221" s="49"/>
      <c r="W221" s="49"/>
      <c r="X221" s="45"/>
      <c r="Y221" s="50"/>
      <c r="Z221" s="50"/>
      <c r="AA221" s="50"/>
      <c r="AB221" s="50"/>
      <c r="AC221" s="50"/>
      <c r="AD221" s="50"/>
    </row>
    <row r="222" spans="2:30" ht="12.75" customHeight="1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U222" s="49"/>
      <c r="V222" s="49"/>
      <c r="W222" s="49"/>
      <c r="X222" s="45"/>
      <c r="Y222" s="50"/>
      <c r="Z222" s="50"/>
      <c r="AA222" s="50"/>
      <c r="AB222" s="50"/>
      <c r="AC222" s="50"/>
      <c r="AD222" s="50"/>
    </row>
    <row r="223" spans="2:30" ht="12.75" customHeight="1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U223" s="49"/>
      <c r="V223" s="49"/>
      <c r="W223" s="49"/>
      <c r="X223" s="45"/>
      <c r="Y223" s="50"/>
      <c r="Z223" s="50"/>
      <c r="AA223" s="50"/>
      <c r="AB223" s="50"/>
      <c r="AC223" s="50"/>
      <c r="AD223" s="50"/>
    </row>
    <row r="224" spans="2:30" ht="12.75" customHeight="1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U224" s="49"/>
      <c r="V224" s="49"/>
      <c r="W224" s="49"/>
      <c r="X224" s="45"/>
      <c r="Y224" s="50"/>
      <c r="Z224" s="50"/>
      <c r="AA224" s="50"/>
      <c r="AB224" s="50"/>
      <c r="AC224" s="50"/>
      <c r="AD224" s="50"/>
    </row>
    <row r="225" spans="2:30" ht="12.75" customHeight="1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U225" s="49"/>
      <c r="V225" s="49"/>
      <c r="W225" s="49"/>
      <c r="X225" s="45"/>
      <c r="Y225" s="50"/>
      <c r="Z225" s="50"/>
      <c r="AA225" s="50"/>
      <c r="AB225" s="50"/>
      <c r="AC225" s="50"/>
      <c r="AD225" s="50"/>
    </row>
    <row r="226" spans="2:30" ht="12.75" customHeight="1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U226" s="49"/>
      <c r="V226" s="49"/>
      <c r="W226" s="49"/>
      <c r="X226" s="45"/>
      <c r="Y226" s="50"/>
      <c r="Z226" s="50"/>
      <c r="AA226" s="50"/>
      <c r="AB226" s="50"/>
      <c r="AC226" s="50"/>
      <c r="AD226" s="50"/>
    </row>
    <row r="227" spans="2:30" ht="12.75" customHeight="1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U227" s="49"/>
      <c r="V227" s="49"/>
      <c r="W227" s="49"/>
      <c r="X227" s="45"/>
      <c r="Y227" s="50"/>
      <c r="Z227" s="50"/>
      <c r="AA227" s="50"/>
      <c r="AB227" s="50"/>
      <c r="AC227" s="50"/>
      <c r="AD227" s="50"/>
    </row>
    <row r="228" spans="2:30" ht="12.75" customHeight="1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U228" s="49"/>
      <c r="V228" s="49"/>
      <c r="W228" s="49"/>
      <c r="X228" s="45"/>
      <c r="Y228" s="50"/>
      <c r="Z228" s="50"/>
      <c r="AA228" s="50"/>
      <c r="AB228" s="50"/>
      <c r="AC228" s="50"/>
      <c r="AD228" s="50"/>
    </row>
    <row r="229" spans="2:30" ht="12.75" customHeight="1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U229" s="49"/>
      <c r="V229" s="49"/>
      <c r="W229" s="49"/>
      <c r="X229" s="45"/>
      <c r="Y229" s="50"/>
      <c r="Z229" s="50"/>
      <c r="AA229" s="50"/>
      <c r="AB229" s="50"/>
      <c r="AC229" s="50"/>
      <c r="AD229" s="50"/>
    </row>
    <row r="230" spans="2:30" ht="12.75" customHeight="1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U230" s="49"/>
      <c r="V230" s="49"/>
      <c r="W230" s="45"/>
      <c r="X230" s="45"/>
      <c r="Y230" s="50"/>
      <c r="Z230" s="50"/>
      <c r="AA230" s="50"/>
      <c r="AB230" s="50"/>
      <c r="AC230" s="50"/>
      <c r="AD230" s="50"/>
    </row>
    <row r="231" spans="2:30" ht="12.75" customHeight="1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U231" s="49"/>
      <c r="V231" s="49"/>
      <c r="W231" s="45"/>
      <c r="X231" s="45"/>
      <c r="Y231" s="50"/>
      <c r="Z231" s="50"/>
      <c r="AA231" s="50"/>
      <c r="AB231" s="50"/>
      <c r="AC231" s="50"/>
      <c r="AD231" s="50"/>
    </row>
    <row r="232" spans="2:30" ht="12.75" customHeight="1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50"/>
      <c r="Z232" s="50"/>
      <c r="AA232" s="50"/>
      <c r="AB232" s="50"/>
      <c r="AC232" s="50"/>
      <c r="AD232" s="50"/>
    </row>
    <row r="233" spans="2:30" ht="12.75" customHeight="1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50"/>
      <c r="Z233" s="50"/>
      <c r="AA233" s="50"/>
      <c r="AB233" s="50"/>
      <c r="AC233" s="50"/>
      <c r="AD233" s="50"/>
    </row>
    <row r="234" spans="2:30" ht="12.75" customHeight="1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50"/>
      <c r="Z234" s="50"/>
      <c r="AA234" s="50"/>
      <c r="AB234" s="50"/>
      <c r="AC234" s="50"/>
      <c r="AD234" s="50"/>
    </row>
    <row r="235" spans="2:30" ht="12.75" customHeight="1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50"/>
      <c r="Z235" s="50"/>
      <c r="AA235" s="50"/>
      <c r="AB235" s="50"/>
      <c r="AC235" s="50"/>
      <c r="AD235" s="50"/>
    </row>
    <row r="236" spans="2:30" ht="12.75" customHeight="1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50"/>
      <c r="Z236" s="50"/>
      <c r="AA236" s="50"/>
      <c r="AB236" s="50"/>
      <c r="AC236" s="50"/>
      <c r="AD236" s="50"/>
    </row>
    <row r="237" spans="2:30" ht="12.75" customHeight="1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50"/>
      <c r="Z237" s="50"/>
      <c r="AA237" s="50"/>
      <c r="AB237" s="50"/>
      <c r="AC237" s="50"/>
      <c r="AD237" s="50"/>
    </row>
    <row r="238" spans="2:30" ht="12.75" customHeight="1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50"/>
      <c r="Z238" s="50"/>
      <c r="AA238" s="50"/>
      <c r="AB238" s="50"/>
      <c r="AC238" s="50"/>
      <c r="AD238" s="50"/>
    </row>
    <row r="239" spans="2:30" ht="12.75" customHeight="1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50"/>
      <c r="Z239" s="50"/>
      <c r="AA239" s="50"/>
      <c r="AB239" s="50"/>
      <c r="AC239" s="50"/>
      <c r="AD239" s="50"/>
    </row>
    <row r="240" spans="2:30" ht="12.75" customHeight="1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50"/>
      <c r="Z240" s="50"/>
      <c r="AA240" s="50"/>
      <c r="AB240" s="50"/>
      <c r="AC240" s="50"/>
      <c r="AD240" s="50"/>
    </row>
    <row r="241" spans="2:30" ht="12.75" customHeight="1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50"/>
      <c r="Z241" s="50"/>
      <c r="AA241" s="50"/>
      <c r="AB241" s="50"/>
      <c r="AC241" s="50"/>
      <c r="AD241" s="50"/>
    </row>
    <row r="242" spans="2:30" ht="12.75" customHeight="1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50"/>
      <c r="Z242" s="50"/>
      <c r="AA242" s="50"/>
      <c r="AB242" s="50"/>
      <c r="AC242" s="50"/>
      <c r="AD242" s="50"/>
    </row>
    <row r="243" spans="2:30" ht="12.75" customHeight="1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50"/>
      <c r="Z243" s="50"/>
      <c r="AA243" s="50"/>
      <c r="AB243" s="50"/>
      <c r="AC243" s="50"/>
      <c r="AD243" s="50"/>
    </row>
    <row r="244" spans="2:30" ht="12.75" customHeight="1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50"/>
      <c r="Z244" s="50"/>
      <c r="AA244" s="50"/>
      <c r="AB244" s="50"/>
      <c r="AC244" s="50"/>
      <c r="AD244" s="50"/>
    </row>
    <row r="245" spans="2:30" ht="12.75" customHeight="1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50"/>
      <c r="Z245" s="50"/>
      <c r="AA245" s="50"/>
      <c r="AB245" s="50"/>
      <c r="AC245" s="50"/>
      <c r="AD245" s="50"/>
    </row>
    <row r="246" spans="2:30" ht="12.75" customHeight="1">
      <c r="B246" s="45"/>
      <c r="C246" s="45"/>
      <c r="D246" s="45"/>
      <c r="E246" s="45"/>
      <c r="F246" s="45"/>
      <c r="G246" s="45"/>
      <c r="H246" s="45"/>
      <c r="I246" s="342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50"/>
      <c r="Z246" s="50"/>
      <c r="AA246" s="50"/>
      <c r="AB246" s="50"/>
      <c r="AC246" s="50"/>
      <c r="AD246" s="50"/>
    </row>
    <row r="247" spans="2:30" ht="12.75" customHeight="1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50"/>
      <c r="Z247" s="50"/>
      <c r="AA247" s="50"/>
      <c r="AB247" s="50"/>
      <c r="AC247" s="50"/>
      <c r="AD247" s="50"/>
    </row>
    <row r="248" spans="2:30" ht="12.75" customHeight="1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50"/>
      <c r="Z248" s="50"/>
      <c r="AA248" s="50"/>
      <c r="AB248" s="50"/>
      <c r="AC248" s="50"/>
      <c r="AD248" s="50"/>
    </row>
    <row r="249" spans="2:30" ht="12.75" customHeight="1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50"/>
      <c r="Z249" s="50"/>
      <c r="AA249" s="50"/>
      <c r="AB249" s="50"/>
      <c r="AC249" s="50"/>
      <c r="AD249" s="50"/>
    </row>
    <row r="250" spans="2:30" ht="12.75" customHeight="1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50"/>
      <c r="Z250" s="50"/>
      <c r="AA250" s="50"/>
      <c r="AB250" s="50"/>
      <c r="AC250" s="50"/>
      <c r="AD250" s="50"/>
    </row>
    <row r="251" spans="2:30" ht="12.75" customHeight="1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50"/>
      <c r="Z251" s="50"/>
      <c r="AA251" s="50"/>
      <c r="AB251" s="50"/>
      <c r="AC251" s="50"/>
      <c r="AD251" s="50"/>
    </row>
    <row r="252" spans="2:30" ht="12.75" customHeight="1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50"/>
      <c r="Z252" s="50"/>
      <c r="AA252" s="50"/>
      <c r="AB252" s="50"/>
      <c r="AC252" s="50"/>
      <c r="AD252" s="50"/>
    </row>
    <row r="253" spans="2:30" ht="12.75" customHeight="1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50"/>
      <c r="Z253" s="50"/>
      <c r="AA253" s="50"/>
      <c r="AB253" s="50"/>
      <c r="AC253" s="50"/>
      <c r="AD253" s="50"/>
    </row>
    <row r="254" spans="2:30" ht="12.75" customHeight="1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50"/>
      <c r="Z254" s="50"/>
      <c r="AA254" s="50"/>
      <c r="AB254" s="50"/>
      <c r="AC254" s="50"/>
      <c r="AD254" s="50"/>
    </row>
    <row r="255" spans="2:30" ht="12.75" customHeight="1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50"/>
      <c r="Z255" s="50"/>
      <c r="AA255" s="50"/>
      <c r="AB255" s="50"/>
      <c r="AC255" s="50"/>
      <c r="AD255" s="50"/>
    </row>
    <row r="256" spans="2:30" ht="12.75" customHeight="1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50"/>
      <c r="Z256" s="50"/>
      <c r="AA256" s="50"/>
      <c r="AB256" s="50"/>
      <c r="AC256" s="50"/>
      <c r="AD256" s="50"/>
    </row>
    <row r="257" spans="2:30" ht="12.75" customHeight="1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50"/>
      <c r="Z257" s="50"/>
      <c r="AA257" s="50"/>
      <c r="AB257" s="50"/>
      <c r="AC257" s="50"/>
      <c r="AD257" s="50"/>
    </row>
    <row r="258" spans="2:30" ht="12.75" customHeight="1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50"/>
      <c r="Z258" s="50"/>
      <c r="AA258" s="50"/>
      <c r="AB258" s="50"/>
      <c r="AC258" s="50"/>
      <c r="AD258" s="50"/>
    </row>
    <row r="259" spans="2:30" ht="12.75" customHeight="1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50"/>
      <c r="Z259" s="50"/>
      <c r="AA259" s="50"/>
      <c r="AB259" s="50"/>
      <c r="AC259" s="50"/>
      <c r="AD259" s="50"/>
    </row>
    <row r="260" spans="2:30" ht="12.75" customHeight="1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50"/>
      <c r="Z260" s="50"/>
      <c r="AA260" s="50"/>
      <c r="AB260" s="50"/>
      <c r="AC260" s="50"/>
      <c r="AD260" s="50"/>
    </row>
    <row r="261" spans="2:30" ht="12.75" customHeight="1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50"/>
      <c r="Z261" s="50"/>
      <c r="AA261" s="50"/>
      <c r="AB261" s="50"/>
      <c r="AC261" s="50"/>
      <c r="AD261" s="50"/>
    </row>
    <row r="262" spans="2:30" ht="12.75" customHeight="1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50"/>
      <c r="Z262" s="50"/>
      <c r="AA262" s="50"/>
      <c r="AB262" s="50"/>
      <c r="AC262" s="50"/>
      <c r="AD262" s="50"/>
    </row>
    <row r="263" spans="2:30" ht="12.75" customHeight="1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50"/>
      <c r="Z263" s="50"/>
      <c r="AA263" s="50"/>
      <c r="AB263" s="50"/>
      <c r="AC263" s="50"/>
      <c r="AD263" s="50"/>
    </row>
    <row r="264" spans="2:30" ht="12.75" customHeight="1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50"/>
      <c r="Z264" s="50"/>
      <c r="AA264" s="50"/>
      <c r="AB264" s="50"/>
      <c r="AC264" s="50"/>
      <c r="AD264" s="50"/>
    </row>
    <row r="265" spans="2:30" ht="12.75" customHeight="1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50"/>
      <c r="Z265" s="50"/>
      <c r="AA265" s="50"/>
      <c r="AB265" s="50"/>
      <c r="AC265" s="50"/>
      <c r="AD265" s="50"/>
    </row>
    <row r="266" spans="2:30" ht="12.75" customHeight="1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50"/>
      <c r="Z266" s="50"/>
      <c r="AA266" s="50"/>
      <c r="AB266" s="50"/>
      <c r="AC266" s="50"/>
      <c r="AD266" s="50"/>
    </row>
    <row r="267" spans="2:30" ht="12.75" customHeight="1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50"/>
      <c r="Z267" s="50"/>
      <c r="AA267" s="50"/>
      <c r="AB267" s="50"/>
      <c r="AC267" s="50"/>
      <c r="AD267" s="50"/>
    </row>
    <row r="268" spans="2:30" ht="12.75" customHeight="1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50"/>
      <c r="Z268" s="50"/>
      <c r="AA268" s="50"/>
      <c r="AB268" s="50"/>
      <c r="AC268" s="50"/>
      <c r="AD268" s="50"/>
    </row>
    <row r="269" spans="2:30" ht="12.75" customHeight="1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50"/>
      <c r="Z269" s="50"/>
      <c r="AA269" s="50"/>
      <c r="AB269" s="50"/>
      <c r="AC269" s="50"/>
      <c r="AD269" s="50"/>
    </row>
    <row r="270" spans="2:30" ht="12.75" customHeight="1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50"/>
      <c r="Z270" s="50"/>
      <c r="AA270" s="50"/>
      <c r="AB270" s="50"/>
      <c r="AC270" s="50"/>
      <c r="AD270" s="50"/>
    </row>
    <row r="271" spans="2:30" ht="12.75" customHeight="1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50"/>
      <c r="Z271" s="50"/>
      <c r="AA271" s="50"/>
      <c r="AB271" s="50"/>
      <c r="AC271" s="50"/>
      <c r="AD271" s="50"/>
    </row>
    <row r="272" spans="2:30" ht="12.75" customHeight="1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50"/>
      <c r="Z272" s="50"/>
      <c r="AA272" s="50"/>
      <c r="AB272" s="50"/>
      <c r="AC272" s="50"/>
      <c r="AD272" s="50"/>
    </row>
    <row r="273" spans="2:30" ht="12.75" customHeight="1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50"/>
      <c r="Z273" s="50"/>
      <c r="AA273" s="50"/>
      <c r="AB273" s="50"/>
      <c r="AC273" s="50"/>
      <c r="AD273" s="50"/>
    </row>
    <row r="274" spans="2:30" ht="12.75" customHeight="1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50"/>
      <c r="Z274" s="50"/>
      <c r="AA274" s="50"/>
      <c r="AB274" s="50"/>
      <c r="AC274" s="50"/>
      <c r="AD274" s="50"/>
    </row>
    <row r="275" spans="2:30" ht="12.75" customHeight="1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50"/>
      <c r="Z275" s="50"/>
      <c r="AA275" s="50"/>
      <c r="AB275" s="50"/>
      <c r="AC275" s="50"/>
      <c r="AD275" s="50"/>
    </row>
    <row r="276" spans="2:30" ht="12.75" customHeight="1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50"/>
      <c r="Z276" s="50"/>
      <c r="AA276" s="50"/>
      <c r="AB276" s="50"/>
      <c r="AC276" s="50"/>
      <c r="AD276" s="50"/>
    </row>
    <row r="277" spans="2:30" ht="12.75" customHeight="1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50"/>
      <c r="Z277" s="50"/>
      <c r="AA277" s="50"/>
      <c r="AB277" s="50"/>
      <c r="AC277" s="50"/>
      <c r="AD277" s="50"/>
    </row>
    <row r="278" spans="2:30" ht="12.75" customHeight="1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50"/>
      <c r="Z278" s="50"/>
      <c r="AA278" s="50"/>
      <c r="AB278" s="50"/>
      <c r="AC278" s="50"/>
      <c r="AD278" s="50"/>
    </row>
    <row r="279" spans="2:30" ht="12.75" customHeight="1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50"/>
      <c r="Z279" s="50"/>
      <c r="AA279" s="50"/>
      <c r="AB279" s="50"/>
      <c r="AC279" s="50"/>
      <c r="AD279" s="50"/>
    </row>
    <row r="280" spans="2:30" ht="12.75" customHeight="1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50"/>
      <c r="Z280" s="50"/>
      <c r="AA280" s="50"/>
      <c r="AB280" s="50"/>
      <c r="AC280" s="50"/>
      <c r="AD280" s="50"/>
    </row>
    <row r="281" spans="2:30" ht="12.75" customHeight="1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50"/>
      <c r="Z281" s="50"/>
      <c r="AA281" s="50"/>
      <c r="AB281" s="50"/>
      <c r="AC281" s="50"/>
      <c r="AD281" s="50"/>
    </row>
    <row r="282" spans="2:30" ht="12.75" customHeight="1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50"/>
      <c r="Z282" s="50"/>
      <c r="AA282" s="50"/>
      <c r="AB282" s="50"/>
      <c r="AC282" s="50"/>
      <c r="AD282" s="50"/>
    </row>
    <row r="283" spans="2:30" ht="12.75" customHeight="1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50"/>
      <c r="Z283" s="50"/>
      <c r="AA283" s="50"/>
      <c r="AB283" s="50"/>
      <c r="AC283" s="50"/>
      <c r="AD283" s="50"/>
    </row>
    <row r="284" spans="2:30" ht="12.75" customHeight="1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50"/>
      <c r="Z284" s="50"/>
      <c r="AA284" s="50"/>
      <c r="AB284" s="50"/>
      <c r="AC284" s="50"/>
      <c r="AD284" s="50"/>
    </row>
    <row r="285" spans="2:30" ht="12.75" customHeight="1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50"/>
      <c r="Z285" s="50"/>
      <c r="AA285" s="50"/>
      <c r="AB285" s="50"/>
      <c r="AC285" s="50"/>
      <c r="AD285" s="50"/>
    </row>
    <row r="286" spans="2:30" ht="12.75" customHeight="1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50"/>
      <c r="Z286" s="50"/>
      <c r="AA286" s="50"/>
      <c r="AB286" s="50"/>
      <c r="AC286" s="50"/>
      <c r="AD286" s="50"/>
    </row>
    <row r="287" spans="2:30" ht="12.75" customHeight="1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50"/>
      <c r="Z287" s="50"/>
      <c r="AA287" s="50"/>
      <c r="AB287" s="50"/>
      <c r="AC287" s="50"/>
      <c r="AD287" s="50"/>
    </row>
    <row r="288" spans="2:30" ht="12.75" customHeight="1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50"/>
      <c r="Z288" s="50"/>
      <c r="AA288" s="50"/>
      <c r="AB288" s="50"/>
      <c r="AC288" s="50"/>
      <c r="AD288" s="50"/>
    </row>
    <row r="289" spans="2:30" ht="12.75" customHeight="1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50"/>
      <c r="Z289" s="50"/>
      <c r="AA289" s="50"/>
      <c r="AB289" s="50"/>
      <c r="AC289" s="50"/>
      <c r="AD289" s="50"/>
    </row>
    <row r="290" spans="2:30" ht="12.75" customHeight="1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50"/>
      <c r="Z290" s="50"/>
      <c r="AA290" s="50"/>
      <c r="AB290" s="50"/>
      <c r="AC290" s="50"/>
      <c r="AD290" s="50"/>
    </row>
    <row r="291" spans="2:30" ht="12.75" customHeight="1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50"/>
      <c r="Z291" s="50"/>
      <c r="AA291" s="50"/>
      <c r="AB291" s="50"/>
      <c r="AC291" s="50"/>
      <c r="AD291" s="50"/>
    </row>
    <row r="292" spans="2:30" ht="12.75" customHeight="1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50"/>
      <c r="Z292" s="50"/>
      <c r="AA292" s="50"/>
      <c r="AB292" s="50"/>
      <c r="AC292" s="50"/>
      <c r="AD292" s="50"/>
    </row>
    <row r="293" spans="2:30" ht="12.75" customHeight="1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50"/>
      <c r="Z293" s="50"/>
      <c r="AA293" s="50"/>
      <c r="AB293" s="50"/>
      <c r="AC293" s="50"/>
      <c r="AD293" s="50"/>
    </row>
    <row r="294" spans="2:30" ht="12.75" customHeight="1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50"/>
      <c r="Z294" s="50"/>
      <c r="AA294" s="50"/>
      <c r="AB294" s="50"/>
      <c r="AC294" s="50"/>
      <c r="AD294" s="50"/>
    </row>
    <row r="295" spans="2:30" ht="12.75" customHeight="1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50"/>
      <c r="Z295" s="50"/>
      <c r="AA295" s="50"/>
      <c r="AB295" s="50"/>
      <c r="AC295" s="50"/>
      <c r="AD295" s="50"/>
    </row>
    <row r="296" spans="2:30" ht="12.75" customHeight="1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50"/>
      <c r="Z296" s="50"/>
      <c r="AA296" s="50"/>
      <c r="AB296" s="50"/>
      <c r="AC296" s="50"/>
      <c r="AD296" s="50"/>
    </row>
    <row r="297" spans="2:30" ht="12.75" customHeight="1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50"/>
      <c r="Z297" s="50"/>
      <c r="AA297" s="50"/>
      <c r="AB297" s="50"/>
      <c r="AC297" s="50"/>
      <c r="AD297" s="50"/>
    </row>
    <row r="298" spans="2:30" ht="12.75" customHeight="1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50"/>
      <c r="Z298" s="50"/>
      <c r="AA298" s="50"/>
      <c r="AB298" s="50"/>
      <c r="AC298" s="50"/>
      <c r="AD298" s="50"/>
    </row>
    <row r="299" spans="2:30" ht="12.75" customHeight="1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50"/>
      <c r="Z299" s="50"/>
      <c r="AA299" s="50"/>
      <c r="AB299" s="50"/>
      <c r="AC299" s="50"/>
      <c r="AD299" s="50"/>
    </row>
    <row r="300" spans="2:30" ht="12.75" customHeight="1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50"/>
      <c r="Z300" s="50"/>
      <c r="AA300" s="50"/>
      <c r="AB300" s="50"/>
      <c r="AC300" s="50"/>
      <c r="AD300" s="50"/>
    </row>
    <row r="301" spans="2:30" ht="12.75" customHeight="1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50"/>
      <c r="Z301" s="50"/>
      <c r="AA301" s="50"/>
      <c r="AB301" s="50"/>
      <c r="AC301" s="50"/>
      <c r="AD301" s="50"/>
    </row>
    <row r="302" spans="2:30" ht="12.75" customHeight="1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50"/>
      <c r="Z302" s="50"/>
      <c r="AA302" s="50"/>
      <c r="AB302" s="50"/>
      <c r="AC302" s="50"/>
      <c r="AD302" s="50"/>
    </row>
    <row r="303" spans="2:30" ht="12.75" customHeight="1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50"/>
      <c r="Z303" s="50"/>
      <c r="AA303" s="50"/>
      <c r="AB303" s="50"/>
      <c r="AC303" s="50"/>
      <c r="AD303" s="50"/>
    </row>
    <row r="304" spans="2:30" ht="12.75" customHeight="1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50"/>
      <c r="Z304" s="50"/>
      <c r="AA304" s="50"/>
      <c r="AB304" s="50"/>
      <c r="AC304" s="50"/>
      <c r="AD304" s="50"/>
    </row>
    <row r="305" spans="2:30" ht="12.75" customHeight="1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50"/>
      <c r="Z305" s="50"/>
      <c r="AA305" s="50"/>
      <c r="AB305" s="50"/>
      <c r="AC305" s="50"/>
      <c r="AD305" s="50"/>
    </row>
    <row r="306" spans="2:30" ht="12.75" customHeight="1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50"/>
      <c r="Z306" s="50"/>
      <c r="AA306" s="50"/>
      <c r="AB306" s="50"/>
      <c r="AC306" s="50"/>
      <c r="AD306" s="50"/>
    </row>
    <row r="307" spans="2:30" ht="12.75" customHeight="1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50"/>
      <c r="Z307" s="50"/>
      <c r="AA307" s="50"/>
      <c r="AB307" s="50"/>
      <c r="AC307" s="50"/>
      <c r="AD307" s="50"/>
    </row>
    <row r="308" spans="2:30" ht="12.75" customHeight="1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50"/>
      <c r="Z308" s="50"/>
      <c r="AA308" s="50"/>
      <c r="AB308" s="50"/>
      <c r="AC308" s="50"/>
      <c r="AD308" s="50"/>
    </row>
    <row r="309" spans="2:30" ht="12.75" customHeight="1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50"/>
      <c r="Z309" s="50"/>
      <c r="AA309" s="50"/>
      <c r="AB309" s="50"/>
      <c r="AC309" s="50"/>
      <c r="AD309" s="50"/>
    </row>
    <row r="310" spans="2:30" ht="12.75" customHeight="1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50"/>
      <c r="Z310" s="50"/>
      <c r="AA310" s="50"/>
      <c r="AB310" s="50"/>
      <c r="AC310" s="50"/>
      <c r="AD310" s="50"/>
    </row>
    <row r="311" spans="2:30" ht="12.75" customHeight="1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50"/>
      <c r="Z311" s="50"/>
      <c r="AA311" s="50"/>
      <c r="AB311" s="50"/>
      <c r="AC311" s="50"/>
      <c r="AD311" s="50"/>
    </row>
    <row r="312" spans="2:30" ht="12.75" customHeight="1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50"/>
      <c r="Z312" s="50"/>
      <c r="AA312" s="50"/>
      <c r="AB312" s="50"/>
      <c r="AC312" s="50"/>
      <c r="AD312" s="50"/>
    </row>
    <row r="313" spans="2:30" ht="12.75" customHeight="1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50"/>
      <c r="Z313" s="50"/>
      <c r="AA313" s="50"/>
      <c r="AB313" s="50"/>
      <c r="AC313" s="50"/>
      <c r="AD313" s="50"/>
    </row>
    <row r="314" spans="2:30" ht="12.75" customHeight="1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50"/>
      <c r="Z314" s="50"/>
      <c r="AA314" s="50"/>
      <c r="AB314" s="50"/>
      <c r="AC314" s="50"/>
      <c r="AD314" s="50"/>
    </row>
    <row r="315" spans="2:30" ht="12.75" customHeight="1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50"/>
      <c r="Z315" s="50"/>
      <c r="AA315" s="50"/>
      <c r="AB315" s="50"/>
      <c r="AC315" s="50"/>
      <c r="AD315" s="50"/>
    </row>
    <row r="316" spans="2:30" ht="12.75" customHeight="1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50"/>
      <c r="Z316" s="50"/>
      <c r="AA316" s="50"/>
      <c r="AB316" s="50"/>
      <c r="AC316" s="50"/>
      <c r="AD316" s="50"/>
    </row>
    <row r="317" spans="2:30" ht="12.75" customHeight="1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50"/>
      <c r="Z317" s="50"/>
      <c r="AA317" s="50"/>
      <c r="AB317" s="50"/>
      <c r="AC317" s="50"/>
      <c r="AD317" s="50"/>
    </row>
    <row r="318" spans="2:30" ht="12.75" customHeight="1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50"/>
      <c r="Z318" s="50"/>
      <c r="AA318" s="50"/>
      <c r="AB318" s="50"/>
      <c r="AC318" s="50"/>
      <c r="AD318" s="50"/>
    </row>
    <row r="319" spans="2:30" ht="12.75" customHeight="1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50"/>
      <c r="Z319" s="50"/>
      <c r="AA319" s="50"/>
      <c r="AB319" s="50"/>
      <c r="AC319" s="50"/>
      <c r="AD319" s="50"/>
    </row>
    <row r="320" spans="2:30" ht="12.75" customHeight="1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50"/>
      <c r="Z320" s="50"/>
      <c r="AA320" s="50"/>
      <c r="AB320" s="50"/>
      <c r="AC320" s="50"/>
      <c r="AD320" s="50"/>
    </row>
    <row r="321" spans="2:30" ht="12.75" customHeight="1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50"/>
      <c r="Z321" s="50"/>
      <c r="AA321" s="50"/>
      <c r="AB321" s="50"/>
      <c r="AC321" s="50"/>
      <c r="AD321" s="50"/>
    </row>
    <row r="322" spans="2:30" ht="12.75" customHeight="1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50"/>
      <c r="Z322" s="50"/>
      <c r="AA322" s="50"/>
      <c r="AB322" s="50"/>
      <c r="AC322" s="50"/>
      <c r="AD322" s="50"/>
    </row>
    <row r="323" spans="2:30" ht="12.75" customHeight="1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50"/>
      <c r="Z323" s="50"/>
      <c r="AA323" s="50"/>
      <c r="AB323" s="50"/>
      <c r="AC323" s="50"/>
      <c r="AD323" s="50"/>
    </row>
    <row r="324" spans="2:30" ht="12.75" customHeight="1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50"/>
      <c r="Z324" s="50"/>
      <c r="AA324" s="50"/>
      <c r="AB324" s="50"/>
      <c r="AC324" s="50"/>
      <c r="AD324" s="50"/>
    </row>
    <row r="325" spans="2:30" ht="12.75" customHeight="1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50"/>
      <c r="Z325" s="50"/>
      <c r="AA325" s="50"/>
      <c r="AB325" s="50"/>
      <c r="AC325" s="50"/>
      <c r="AD325" s="50"/>
    </row>
    <row r="326" spans="2:30" ht="12.75" customHeight="1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50"/>
      <c r="Z326" s="50"/>
      <c r="AA326" s="50"/>
      <c r="AB326" s="50"/>
      <c r="AC326" s="50"/>
      <c r="AD326" s="50"/>
    </row>
    <row r="327" spans="2:30" ht="12.75" customHeight="1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50"/>
      <c r="Z327" s="50"/>
      <c r="AA327" s="50"/>
      <c r="AB327" s="50"/>
      <c r="AC327" s="50"/>
      <c r="AD327" s="50"/>
    </row>
    <row r="328" spans="2:30" ht="12.75" customHeight="1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50"/>
      <c r="Z328" s="50"/>
      <c r="AA328" s="50"/>
      <c r="AB328" s="50"/>
      <c r="AC328" s="50"/>
      <c r="AD328" s="50"/>
    </row>
    <row r="329" spans="2:30" ht="12.75" customHeight="1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50"/>
      <c r="Z329" s="50"/>
      <c r="AA329" s="50"/>
      <c r="AB329" s="50"/>
      <c r="AC329" s="50"/>
      <c r="AD329" s="50"/>
    </row>
    <row r="330" spans="2:30" ht="12.75" customHeight="1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50"/>
      <c r="Z330" s="50"/>
      <c r="AA330" s="50"/>
      <c r="AB330" s="50"/>
      <c r="AC330" s="50"/>
      <c r="AD330" s="50"/>
    </row>
    <row r="331" spans="2:30" ht="12.75" customHeight="1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50"/>
      <c r="Z331" s="50"/>
      <c r="AA331" s="50"/>
      <c r="AB331" s="50"/>
      <c r="AC331" s="50"/>
      <c r="AD331" s="50"/>
    </row>
    <row r="332" spans="2:30" ht="12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50"/>
      <c r="Z332" s="50"/>
      <c r="AA332" s="50"/>
      <c r="AB332" s="50"/>
      <c r="AC332" s="50"/>
      <c r="AD332" s="50"/>
    </row>
    <row r="333" spans="2:30" ht="12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50"/>
      <c r="Z333" s="50"/>
      <c r="AA333" s="50"/>
      <c r="AB333" s="50"/>
      <c r="AC333" s="50"/>
      <c r="AD333" s="50"/>
    </row>
    <row r="334" spans="2:30" ht="12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50"/>
      <c r="Z334" s="50"/>
      <c r="AA334" s="50"/>
      <c r="AB334" s="50"/>
      <c r="AC334" s="50"/>
      <c r="AD334" s="50"/>
    </row>
    <row r="335" spans="2:30" ht="12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50"/>
      <c r="Z335" s="50"/>
      <c r="AA335" s="50"/>
      <c r="AB335" s="50"/>
      <c r="AC335" s="50"/>
      <c r="AD335" s="50"/>
    </row>
    <row r="336" spans="2:30" ht="12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50"/>
      <c r="Z336" s="50"/>
      <c r="AA336" s="50"/>
      <c r="AB336" s="50"/>
      <c r="AC336" s="50"/>
      <c r="AD336" s="50"/>
    </row>
    <row r="337" spans="2:30" ht="12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50"/>
      <c r="Z337" s="50"/>
      <c r="AA337" s="50"/>
      <c r="AB337" s="50"/>
      <c r="AC337" s="50"/>
      <c r="AD337" s="50"/>
    </row>
    <row r="338" spans="2:30" ht="12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50"/>
      <c r="Z338" s="50"/>
      <c r="AA338" s="50"/>
      <c r="AB338" s="50"/>
      <c r="AC338" s="50"/>
      <c r="AD338" s="50"/>
    </row>
    <row r="339" spans="2:30" ht="12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50"/>
      <c r="Z339" s="50"/>
      <c r="AA339" s="50"/>
      <c r="AB339" s="50"/>
      <c r="AC339" s="50"/>
      <c r="AD339" s="50"/>
    </row>
    <row r="340" spans="2:30" ht="12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50"/>
      <c r="Z340" s="50"/>
      <c r="AA340" s="50"/>
      <c r="AB340" s="50"/>
      <c r="AC340" s="50"/>
      <c r="AD340" s="50"/>
    </row>
    <row r="341" spans="2:30" ht="12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50"/>
      <c r="Z341" s="50"/>
      <c r="AA341" s="50"/>
      <c r="AB341" s="50"/>
      <c r="AC341" s="50"/>
      <c r="AD341" s="50"/>
    </row>
    <row r="342" spans="2:30" ht="12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50"/>
      <c r="Z342" s="50"/>
      <c r="AA342" s="50"/>
      <c r="AB342" s="50"/>
      <c r="AC342" s="50"/>
      <c r="AD342" s="50"/>
    </row>
    <row r="343" spans="2:30" ht="12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50"/>
      <c r="Z343" s="50"/>
      <c r="AA343" s="50"/>
      <c r="AB343" s="50"/>
      <c r="AC343" s="50"/>
      <c r="AD343" s="50"/>
    </row>
    <row r="344" spans="2:30" ht="12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50"/>
      <c r="Z344" s="50"/>
      <c r="AA344" s="50"/>
      <c r="AB344" s="50"/>
      <c r="AC344" s="50"/>
      <c r="AD344" s="50"/>
    </row>
    <row r="345" spans="2:30" ht="12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50"/>
      <c r="Z345" s="50"/>
      <c r="AA345" s="50"/>
      <c r="AB345" s="50"/>
      <c r="AC345" s="50"/>
      <c r="AD345" s="50"/>
    </row>
    <row r="346" spans="2:30" ht="12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50"/>
      <c r="Z346" s="50"/>
      <c r="AA346" s="50"/>
      <c r="AB346" s="50"/>
      <c r="AC346" s="50"/>
      <c r="AD346" s="50"/>
    </row>
    <row r="347" spans="2:30" ht="12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50"/>
      <c r="Z347" s="50"/>
      <c r="AA347" s="50"/>
      <c r="AB347" s="50"/>
      <c r="AC347" s="50"/>
      <c r="AD347" s="50"/>
    </row>
    <row r="348" spans="2:30" ht="12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50"/>
      <c r="Z348" s="50"/>
      <c r="AA348" s="50"/>
      <c r="AB348" s="50"/>
      <c r="AC348" s="50"/>
      <c r="AD348" s="50"/>
    </row>
    <row r="349" spans="2:30" ht="12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50"/>
      <c r="Z349" s="50"/>
      <c r="AA349" s="50"/>
      <c r="AB349" s="50"/>
      <c r="AC349" s="50"/>
      <c r="AD349" s="50"/>
    </row>
    <row r="350" spans="2:30" ht="12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50"/>
      <c r="Z350" s="50"/>
      <c r="AA350" s="50"/>
      <c r="AB350" s="50"/>
      <c r="AC350" s="50"/>
      <c r="AD350" s="50"/>
    </row>
    <row r="351" spans="2:30" ht="12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50"/>
      <c r="Z351" s="50"/>
      <c r="AA351" s="50"/>
      <c r="AB351" s="50"/>
      <c r="AC351" s="50"/>
      <c r="AD351" s="50"/>
    </row>
    <row r="352" spans="2:30" ht="12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50"/>
      <c r="Z352" s="50"/>
      <c r="AA352" s="50"/>
      <c r="AB352" s="50"/>
      <c r="AC352" s="50"/>
      <c r="AD352" s="50"/>
    </row>
    <row r="353" spans="2:30" ht="12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50"/>
      <c r="Z353" s="50"/>
      <c r="AA353" s="50"/>
      <c r="AB353" s="50"/>
      <c r="AC353" s="50"/>
      <c r="AD353" s="50"/>
    </row>
    <row r="354" spans="2:30" ht="12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50"/>
      <c r="Z354" s="50"/>
      <c r="AA354" s="50"/>
      <c r="AB354" s="50"/>
      <c r="AC354" s="50"/>
      <c r="AD354" s="50"/>
    </row>
    <row r="355" spans="2:30" ht="12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50"/>
      <c r="Z355" s="50"/>
      <c r="AA355" s="50"/>
      <c r="AB355" s="50"/>
      <c r="AC355" s="50"/>
      <c r="AD355" s="50"/>
    </row>
    <row r="356" spans="2:30" ht="12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50"/>
      <c r="Z356" s="50"/>
      <c r="AA356" s="50"/>
      <c r="AB356" s="50"/>
      <c r="AC356" s="50"/>
      <c r="AD356" s="50"/>
    </row>
    <row r="357" spans="2:30" ht="12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50"/>
      <c r="Z357" s="50"/>
      <c r="AA357" s="50"/>
      <c r="AB357" s="50"/>
      <c r="AC357" s="50"/>
      <c r="AD357" s="50"/>
    </row>
    <row r="358" spans="2:30" ht="12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50"/>
      <c r="Z358" s="50"/>
      <c r="AA358" s="50"/>
      <c r="AB358" s="50"/>
      <c r="AC358" s="50"/>
      <c r="AD358" s="50"/>
    </row>
    <row r="359" spans="2:30" ht="12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50"/>
      <c r="Z359" s="50"/>
      <c r="AA359" s="50"/>
      <c r="AB359" s="50"/>
      <c r="AC359" s="50"/>
      <c r="AD359" s="50"/>
    </row>
    <row r="360" spans="2:30" ht="12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50"/>
      <c r="Z360" s="50"/>
      <c r="AA360" s="50"/>
      <c r="AB360" s="50"/>
      <c r="AC360" s="50"/>
      <c r="AD360" s="50"/>
    </row>
    <row r="361" spans="2:30" ht="12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50"/>
      <c r="Z361" s="50"/>
      <c r="AA361" s="50"/>
      <c r="AB361" s="50"/>
      <c r="AC361" s="50"/>
      <c r="AD361" s="50"/>
    </row>
    <row r="362" spans="2:30" ht="12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50"/>
      <c r="Z362" s="50"/>
      <c r="AA362" s="50"/>
      <c r="AB362" s="50"/>
      <c r="AC362" s="50"/>
      <c r="AD362" s="50"/>
    </row>
    <row r="363" spans="2:30" ht="12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50"/>
      <c r="Z363" s="50"/>
      <c r="AA363" s="50"/>
      <c r="AB363" s="50"/>
      <c r="AC363" s="50"/>
      <c r="AD363" s="50"/>
    </row>
    <row r="364" spans="2:30" ht="12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50"/>
      <c r="Z364" s="50"/>
      <c r="AA364" s="50"/>
      <c r="AB364" s="50"/>
      <c r="AC364" s="50"/>
      <c r="AD364" s="50"/>
    </row>
    <row r="365" spans="2:30" ht="12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50"/>
      <c r="Z365" s="50"/>
      <c r="AA365" s="50"/>
      <c r="AB365" s="50"/>
      <c r="AC365" s="50"/>
      <c r="AD365" s="50"/>
    </row>
    <row r="366" spans="2:30" ht="12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50"/>
      <c r="Z366" s="50"/>
      <c r="AA366" s="50"/>
      <c r="AB366" s="50"/>
      <c r="AC366" s="50"/>
      <c r="AD366" s="50"/>
    </row>
    <row r="367" spans="2:30" ht="12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50"/>
      <c r="Z367" s="50"/>
      <c r="AA367" s="50"/>
      <c r="AB367" s="50"/>
      <c r="AC367" s="50"/>
      <c r="AD367" s="50"/>
    </row>
    <row r="368" spans="2:30" ht="12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50"/>
      <c r="Z368" s="50"/>
      <c r="AA368" s="50"/>
      <c r="AB368" s="50"/>
      <c r="AC368" s="50"/>
      <c r="AD368" s="50"/>
    </row>
    <row r="369" spans="2:30" ht="12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50"/>
      <c r="Z369" s="50"/>
      <c r="AA369" s="50"/>
      <c r="AB369" s="50"/>
      <c r="AC369" s="50"/>
      <c r="AD369" s="50"/>
    </row>
    <row r="370" spans="2:30" ht="12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8"/>
      <c r="S370" s="45"/>
      <c r="T370" s="45"/>
      <c r="U370" s="45"/>
      <c r="V370" s="45"/>
      <c r="W370" s="45"/>
      <c r="X370" s="45"/>
      <c r="Y370" s="50"/>
      <c r="Z370" s="50"/>
      <c r="AA370" s="50"/>
      <c r="AB370" s="50"/>
      <c r="AC370" s="50"/>
      <c r="AD370" s="50"/>
    </row>
    <row r="371" spans="2:30" ht="12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8"/>
      <c r="S371" s="45"/>
      <c r="T371" s="45"/>
      <c r="U371" s="45"/>
      <c r="V371" s="45"/>
      <c r="W371" s="45"/>
      <c r="X371" s="45"/>
      <c r="Y371" s="50"/>
      <c r="Z371" s="50"/>
      <c r="AA371" s="50"/>
      <c r="AB371" s="50"/>
      <c r="AC371" s="50"/>
      <c r="AD371" s="50"/>
    </row>
    <row r="372" spans="2:30" ht="12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8"/>
      <c r="S372" s="45"/>
      <c r="T372" s="45"/>
      <c r="U372" s="45"/>
      <c r="V372" s="45"/>
      <c r="W372" s="45"/>
      <c r="X372" s="45"/>
      <c r="Y372" s="50"/>
      <c r="Z372" s="50"/>
      <c r="AA372" s="50"/>
      <c r="AB372" s="50"/>
      <c r="AC372" s="50"/>
      <c r="AD372" s="50"/>
    </row>
    <row r="373" spans="2:30" ht="12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8"/>
      <c r="S373" s="45"/>
      <c r="T373" s="45"/>
      <c r="U373" s="45"/>
      <c r="V373" s="45"/>
      <c r="W373" s="45"/>
      <c r="X373" s="45"/>
      <c r="Y373" s="50"/>
      <c r="Z373" s="50"/>
      <c r="AA373" s="50"/>
      <c r="AB373" s="50"/>
      <c r="AC373" s="50"/>
      <c r="AD373" s="50"/>
    </row>
    <row r="374" spans="2:30" ht="12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8"/>
      <c r="S374" s="45"/>
      <c r="T374" s="45"/>
      <c r="U374" s="45"/>
      <c r="V374" s="45"/>
      <c r="W374" s="45"/>
      <c r="X374" s="45"/>
      <c r="Y374" s="50"/>
      <c r="Z374" s="50"/>
      <c r="AA374" s="50"/>
      <c r="AB374" s="50"/>
      <c r="AC374" s="50"/>
      <c r="AD374" s="50"/>
    </row>
    <row r="375" spans="2:30" ht="12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8"/>
      <c r="S375" s="45"/>
      <c r="T375" s="45"/>
      <c r="U375" s="45"/>
      <c r="V375" s="45"/>
      <c r="W375" s="45"/>
      <c r="X375" s="45"/>
      <c r="Y375" s="50"/>
      <c r="Z375" s="50"/>
      <c r="AA375" s="50"/>
      <c r="AB375" s="50"/>
      <c r="AC375" s="50"/>
      <c r="AD375" s="50"/>
    </row>
    <row r="376" spans="2:30" ht="12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8"/>
      <c r="S376" s="45"/>
      <c r="T376" s="45"/>
      <c r="U376" s="45"/>
      <c r="V376" s="45"/>
      <c r="W376" s="45"/>
      <c r="X376" s="45"/>
      <c r="Y376" s="50"/>
      <c r="Z376" s="50"/>
      <c r="AA376" s="50"/>
      <c r="AB376" s="50"/>
      <c r="AC376" s="50"/>
      <c r="AD376" s="50"/>
    </row>
    <row r="377" spans="2:30" ht="12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8"/>
      <c r="S377" s="45"/>
      <c r="T377" s="45"/>
      <c r="U377" s="45"/>
      <c r="V377" s="45"/>
      <c r="W377" s="45"/>
      <c r="X377" s="45"/>
      <c r="Y377" s="50"/>
      <c r="Z377" s="50"/>
      <c r="AA377" s="50"/>
      <c r="AB377" s="50"/>
      <c r="AC377" s="50"/>
      <c r="AD377" s="50"/>
    </row>
    <row r="378" spans="2:30" ht="12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8"/>
      <c r="S378" s="45"/>
      <c r="T378" s="45"/>
      <c r="U378" s="45"/>
      <c r="V378" s="45"/>
      <c r="W378" s="45"/>
      <c r="X378" s="45"/>
      <c r="Y378" s="50"/>
      <c r="Z378" s="50"/>
      <c r="AA378" s="50"/>
      <c r="AB378" s="50"/>
      <c r="AC378" s="50"/>
      <c r="AD378" s="50"/>
    </row>
    <row r="379" spans="2:30" ht="12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8"/>
      <c r="S379" s="45"/>
      <c r="T379" s="45"/>
      <c r="U379" s="45"/>
      <c r="V379" s="45"/>
      <c r="W379" s="45"/>
      <c r="X379" s="45"/>
      <c r="Y379" s="50"/>
      <c r="Z379" s="50"/>
      <c r="AA379" s="50"/>
      <c r="AB379" s="50"/>
      <c r="AC379" s="50"/>
      <c r="AD379" s="50"/>
    </row>
    <row r="380" spans="2:30" ht="12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8"/>
      <c r="S380" s="45"/>
      <c r="T380" s="45"/>
      <c r="U380" s="45"/>
      <c r="V380" s="45"/>
      <c r="W380" s="45"/>
      <c r="X380" s="45"/>
      <c r="Y380" s="50"/>
      <c r="Z380" s="50"/>
      <c r="AA380" s="50"/>
      <c r="AB380" s="50"/>
      <c r="AC380" s="50"/>
      <c r="AD380" s="50"/>
    </row>
    <row r="381" spans="2:30" ht="12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8"/>
      <c r="S381" s="45"/>
      <c r="T381" s="45"/>
      <c r="U381" s="45"/>
      <c r="V381" s="45"/>
      <c r="W381" s="45"/>
      <c r="X381" s="45"/>
      <c r="Y381" s="50"/>
      <c r="Z381" s="50"/>
      <c r="AA381" s="50"/>
      <c r="AB381" s="50"/>
      <c r="AC381" s="50"/>
      <c r="AD381" s="50"/>
    </row>
    <row r="382" spans="2:30" ht="12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8"/>
      <c r="S382" s="45"/>
      <c r="T382" s="45"/>
      <c r="U382" s="45"/>
      <c r="V382" s="45"/>
      <c r="W382" s="45"/>
      <c r="X382" s="45"/>
      <c r="Y382" s="50"/>
      <c r="Z382" s="50"/>
      <c r="AA382" s="50"/>
      <c r="AB382" s="50"/>
      <c r="AC382" s="50"/>
      <c r="AD382" s="50"/>
    </row>
    <row r="383" spans="2:30" ht="12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8"/>
      <c r="S383" s="45"/>
      <c r="T383" s="45"/>
      <c r="U383" s="45"/>
      <c r="V383" s="45"/>
      <c r="W383" s="45"/>
      <c r="X383" s="45"/>
      <c r="Y383" s="50"/>
      <c r="Z383" s="50"/>
      <c r="AA383" s="50"/>
      <c r="AB383" s="50"/>
      <c r="AC383" s="50"/>
      <c r="AD383" s="50"/>
    </row>
    <row r="384" spans="2:30" ht="12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8"/>
      <c r="S384" s="45"/>
      <c r="T384" s="45"/>
      <c r="U384" s="45"/>
      <c r="V384" s="45"/>
      <c r="W384" s="45"/>
      <c r="X384" s="45"/>
      <c r="Y384" s="50"/>
      <c r="Z384" s="50"/>
      <c r="AA384" s="50"/>
      <c r="AB384" s="50"/>
      <c r="AC384" s="50"/>
      <c r="AD384" s="50"/>
    </row>
    <row r="385" spans="2:30" ht="12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8"/>
      <c r="S385" s="45"/>
      <c r="T385" s="45"/>
      <c r="U385" s="45"/>
      <c r="V385" s="45"/>
      <c r="W385" s="45"/>
      <c r="X385" s="45"/>
      <c r="Y385" s="50"/>
      <c r="Z385" s="50"/>
      <c r="AA385" s="50"/>
      <c r="AB385" s="50"/>
      <c r="AC385" s="50"/>
      <c r="AD385" s="50"/>
    </row>
    <row r="386" spans="2:30" ht="12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8"/>
      <c r="S386" s="45"/>
      <c r="T386" s="45"/>
      <c r="U386" s="45"/>
      <c r="V386" s="45"/>
      <c r="W386" s="45"/>
      <c r="X386" s="45"/>
      <c r="Y386" s="50"/>
      <c r="Z386" s="50"/>
      <c r="AA386" s="50"/>
      <c r="AB386" s="50"/>
      <c r="AC386" s="50"/>
      <c r="AD386" s="50"/>
    </row>
    <row r="387" spans="2:30" ht="12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8"/>
      <c r="S387" s="45"/>
      <c r="T387" s="45"/>
      <c r="U387" s="45"/>
      <c r="V387" s="45"/>
      <c r="W387" s="45"/>
      <c r="X387" s="45"/>
      <c r="Y387" s="50"/>
      <c r="Z387" s="50"/>
      <c r="AA387" s="50"/>
      <c r="AB387" s="50"/>
      <c r="AC387" s="50"/>
      <c r="AD387" s="50"/>
    </row>
    <row r="388" spans="2:30" ht="12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8"/>
      <c r="S388" s="45"/>
      <c r="T388" s="45"/>
      <c r="U388" s="45"/>
      <c r="V388" s="45"/>
      <c r="W388" s="45"/>
      <c r="X388" s="45"/>
      <c r="Y388" s="50"/>
      <c r="Z388" s="50"/>
      <c r="AA388" s="50"/>
      <c r="AB388" s="50"/>
      <c r="AC388" s="50"/>
      <c r="AD388" s="50"/>
    </row>
    <row r="389" spans="2:30" ht="12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8"/>
      <c r="S389" s="45"/>
      <c r="T389" s="45"/>
      <c r="U389" s="45"/>
      <c r="V389" s="45"/>
      <c r="W389" s="45"/>
      <c r="X389" s="45"/>
      <c r="Y389" s="50"/>
      <c r="Z389" s="50"/>
      <c r="AA389" s="50"/>
      <c r="AB389" s="50"/>
      <c r="AC389" s="50"/>
      <c r="AD389" s="50"/>
    </row>
    <row r="390" spans="2:30" ht="12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8"/>
      <c r="S390" s="45"/>
      <c r="T390" s="45"/>
      <c r="U390" s="45"/>
      <c r="V390" s="45"/>
      <c r="W390" s="45"/>
      <c r="X390" s="45"/>
      <c r="Y390" s="50"/>
      <c r="Z390" s="50"/>
      <c r="AA390" s="50"/>
      <c r="AB390" s="50"/>
      <c r="AC390" s="50"/>
      <c r="AD390" s="50"/>
    </row>
    <row r="391" spans="2:30" ht="12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8"/>
      <c r="S391" s="45"/>
      <c r="T391" s="45"/>
      <c r="U391" s="45"/>
      <c r="V391" s="45"/>
      <c r="W391" s="45"/>
      <c r="X391" s="45"/>
      <c r="Y391" s="50"/>
      <c r="Z391" s="50"/>
      <c r="AA391" s="50"/>
      <c r="AB391" s="50"/>
      <c r="AC391" s="50"/>
      <c r="AD391" s="50"/>
    </row>
    <row r="392" spans="2:30" ht="12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8"/>
      <c r="S392" s="45"/>
      <c r="T392" s="45"/>
      <c r="U392" s="45"/>
      <c r="V392" s="45"/>
      <c r="W392" s="45"/>
      <c r="X392" s="45"/>
      <c r="Y392" s="50"/>
      <c r="Z392" s="50"/>
      <c r="AA392" s="50"/>
      <c r="AB392" s="50"/>
      <c r="AC392" s="50"/>
      <c r="AD392" s="50"/>
    </row>
    <row r="393" spans="2:30" ht="12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8"/>
      <c r="S393" s="45"/>
      <c r="T393" s="45"/>
      <c r="U393" s="45"/>
      <c r="V393" s="45"/>
      <c r="W393" s="45"/>
      <c r="X393" s="45"/>
      <c r="Y393" s="50"/>
      <c r="Z393" s="50"/>
      <c r="AA393" s="50"/>
      <c r="AB393" s="50"/>
      <c r="AC393" s="50"/>
      <c r="AD393" s="50"/>
    </row>
    <row r="394" spans="2:30" ht="12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8"/>
      <c r="S394" s="45"/>
      <c r="T394" s="45"/>
      <c r="U394" s="45"/>
      <c r="V394" s="45"/>
      <c r="W394" s="45"/>
      <c r="X394" s="45"/>
      <c r="Y394" s="50"/>
      <c r="Z394" s="50"/>
      <c r="AA394" s="50"/>
      <c r="AB394" s="50"/>
      <c r="AC394" s="50"/>
      <c r="AD394" s="50"/>
    </row>
    <row r="395" spans="2:30" ht="12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8"/>
      <c r="S395" s="45"/>
      <c r="T395" s="45"/>
      <c r="U395" s="45"/>
      <c r="V395" s="45"/>
      <c r="W395" s="45"/>
      <c r="X395" s="45"/>
      <c r="Y395" s="50"/>
      <c r="Z395" s="50"/>
      <c r="AA395" s="50"/>
      <c r="AB395" s="50"/>
      <c r="AC395" s="50"/>
      <c r="AD395" s="50"/>
    </row>
    <row r="396" spans="2:30" ht="12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8"/>
      <c r="S396" s="45"/>
      <c r="T396" s="45"/>
      <c r="U396" s="45"/>
      <c r="V396" s="45"/>
      <c r="W396" s="45"/>
      <c r="X396" s="45"/>
      <c r="Y396" s="49"/>
      <c r="Z396" s="50"/>
      <c r="AA396" s="50"/>
      <c r="AB396" s="50"/>
      <c r="AC396" s="50"/>
      <c r="AD396" s="50"/>
    </row>
    <row r="397" spans="2:30" ht="12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8"/>
      <c r="S397" s="45"/>
      <c r="T397" s="45"/>
      <c r="U397" s="45"/>
      <c r="V397" s="45"/>
      <c r="W397" s="45"/>
      <c r="X397" s="45"/>
      <c r="Y397" s="49"/>
      <c r="Z397" s="50"/>
      <c r="AA397" s="50"/>
      <c r="AB397" s="50"/>
      <c r="AC397" s="50"/>
      <c r="AD397" s="50"/>
    </row>
    <row r="398" spans="2:30" ht="12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8"/>
      <c r="S398" s="45"/>
      <c r="T398" s="45"/>
      <c r="U398" s="45"/>
      <c r="V398" s="45"/>
      <c r="W398" s="45"/>
      <c r="X398" s="45"/>
      <c r="Y398" s="49"/>
      <c r="Z398" s="50"/>
      <c r="AA398" s="50"/>
      <c r="AB398" s="50"/>
      <c r="AC398" s="50"/>
      <c r="AD398" s="50"/>
    </row>
    <row r="399" spans="2:30" ht="12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8"/>
      <c r="S399" s="45"/>
      <c r="T399" s="45"/>
      <c r="U399" s="45"/>
      <c r="V399" s="45"/>
      <c r="W399" s="45"/>
      <c r="X399" s="45"/>
      <c r="Y399" s="49"/>
      <c r="Z399" s="50"/>
      <c r="AA399" s="50"/>
      <c r="AB399" s="50"/>
      <c r="AC399" s="50"/>
      <c r="AD399" s="50"/>
    </row>
    <row r="400" spans="2:30" ht="12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8"/>
      <c r="S400" s="45"/>
      <c r="T400" s="45"/>
      <c r="U400" s="45"/>
      <c r="V400" s="45"/>
      <c r="W400" s="45"/>
      <c r="X400" s="45"/>
      <c r="Y400" s="49"/>
      <c r="Z400" s="50"/>
      <c r="AA400" s="50"/>
      <c r="AB400" s="50"/>
      <c r="AC400" s="50"/>
      <c r="AD400" s="50"/>
    </row>
    <row r="401" spans="2:30" ht="12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8"/>
      <c r="S401" s="45"/>
      <c r="T401" s="45"/>
      <c r="U401" s="45"/>
      <c r="V401" s="45"/>
      <c r="W401" s="45"/>
      <c r="X401" s="45"/>
      <c r="Y401" s="49"/>
      <c r="Z401" s="50"/>
      <c r="AA401" s="50"/>
      <c r="AB401" s="50"/>
      <c r="AC401" s="50"/>
      <c r="AD401" s="50"/>
    </row>
    <row r="402" spans="2:30" ht="12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8"/>
      <c r="S402" s="45"/>
      <c r="T402" s="45"/>
      <c r="U402" s="45"/>
      <c r="V402" s="45"/>
      <c r="W402" s="45"/>
      <c r="X402" s="45"/>
      <c r="Y402" s="49"/>
      <c r="Z402" s="50"/>
      <c r="AA402" s="50"/>
      <c r="AB402" s="50"/>
      <c r="AC402" s="50"/>
      <c r="AD402" s="50"/>
    </row>
    <row r="403" spans="2:30" ht="12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8"/>
      <c r="S403" s="45"/>
      <c r="T403" s="45"/>
      <c r="U403" s="45"/>
      <c r="V403" s="45"/>
      <c r="W403" s="45"/>
      <c r="X403" s="45"/>
      <c r="Y403" s="49"/>
      <c r="Z403" s="50"/>
      <c r="AA403" s="50"/>
      <c r="AB403" s="50"/>
      <c r="AC403" s="50"/>
      <c r="AD403" s="50"/>
    </row>
    <row r="404" spans="2:30" ht="12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8"/>
      <c r="S404" s="45"/>
      <c r="T404" s="45"/>
      <c r="U404" s="45"/>
      <c r="V404" s="45"/>
      <c r="W404" s="45"/>
      <c r="X404" s="45"/>
      <c r="Y404" s="49"/>
      <c r="Z404" s="50"/>
      <c r="AA404" s="50"/>
      <c r="AB404" s="50"/>
      <c r="AC404" s="50"/>
      <c r="AD404" s="50"/>
    </row>
    <row r="405" spans="2:30" ht="12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8"/>
      <c r="S405" s="45"/>
      <c r="T405" s="45"/>
      <c r="U405" s="45"/>
      <c r="V405" s="45"/>
      <c r="W405" s="45"/>
      <c r="X405" s="45"/>
      <c r="Y405" s="49"/>
      <c r="Z405" s="50"/>
      <c r="AA405" s="50"/>
      <c r="AB405" s="50"/>
      <c r="AC405" s="50"/>
      <c r="AD405" s="50"/>
    </row>
    <row r="406" spans="2:30" ht="12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8"/>
      <c r="S406" s="45"/>
      <c r="T406" s="45"/>
      <c r="U406" s="45"/>
      <c r="V406" s="45"/>
      <c r="W406" s="45"/>
      <c r="X406" s="45"/>
      <c r="Y406" s="49"/>
      <c r="AC406" s="50"/>
      <c r="AD406" s="50"/>
    </row>
    <row r="407" spans="2:25" ht="12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8"/>
      <c r="S407" s="45"/>
      <c r="T407" s="45"/>
      <c r="U407" s="45"/>
      <c r="V407" s="45"/>
      <c r="W407" s="45"/>
      <c r="X407" s="45"/>
      <c r="Y407" s="49"/>
    </row>
    <row r="408" spans="2:25" ht="12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8"/>
      <c r="S408" s="45"/>
      <c r="T408" s="45"/>
      <c r="U408" s="45"/>
      <c r="V408" s="45"/>
      <c r="W408" s="45"/>
      <c r="X408" s="45"/>
      <c r="Y408" s="49"/>
    </row>
    <row r="409" spans="2:25" ht="12">
      <c r="B409" s="41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8"/>
      <c r="S409" s="45"/>
      <c r="T409" s="45"/>
      <c r="U409" s="45"/>
      <c r="V409" s="45"/>
      <c r="W409" s="45"/>
      <c r="X409" s="45"/>
      <c r="Y409" s="49"/>
    </row>
    <row r="410" spans="2:25" ht="12">
      <c r="B410" s="41"/>
      <c r="C410" s="41"/>
      <c r="D410" s="41"/>
      <c r="E410" s="41"/>
      <c r="F410" s="41"/>
      <c r="G410" s="41"/>
      <c r="H410" s="41"/>
      <c r="I410" s="41"/>
      <c r="J410" s="48"/>
      <c r="K410" s="48"/>
      <c r="L410" s="48"/>
      <c r="M410" s="48"/>
      <c r="N410" s="48"/>
      <c r="O410" s="48"/>
      <c r="P410" s="48"/>
      <c r="Q410" s="45"/>
      <c r="R410" s="48"/>
      <c r="S410" s="45"/>
      <c r="T410" s="45"/>
      <c r="U410" s="45"/>
      <c r="V410" s="45"/>
      <c r="W410" s="45"/>
      <c r="X410" s="45"/>
      <c r="Y410" s="49"/>
    </row>
    <row r="411" spans="2:25" ht="12">
      <c r="B411" s="41"/>
      <c r="C411" s="41"/>
      <c r="D411" s="41"/>
      <c r="E411" s="41"/>
      <c r="F411" s="41"/>
      <c r="G411" s="41"/>
      <c r="H411" s="41"/>
      <c r="I411" s="41"/>
      <c r="J411" s="48"/>
      <c r="K411" s="48"/>
      <c r="L411" s="48"/>
      <c r="M411" s="48"/>
      <c r="N411" s="48"/>
      <c r="O411" s="48"/>
      <c r="P411" s="48"/>
      <c r="Q411" s="45"/>
      <c r="R411" s="48"/>
      <c r="S411" s="45"/>
      <c r="T411" s="45"/>
      <c r="U411" s="45"/>
      <c r="V411" s="45"/>
      <c r="W411" s="45"/>
      <c r="X411" s="45"/>
      <c r="Y411" s="49"/>
    </row>
    <row r="412" spans="2:25" ht="12">
      <c r="B412" s="41"/>
      <c r="C412" s="41"/>
      <c r="D412" s="41"/>
      <c r="E412" s="41"/>
      <c r="F412" s="41"/>
      <c r="G412" s="41"/>
      <c r="H412" s="41"/>
      <c r="I412" s="41"/>
      <c r="J412" s="48"/>
      <c r="K412" s="48"/>
      <c r="L412" s="48"/>
      <c r="M412" s="48"/>
      <c r="N412" s="48"/>
      <c r="O412" s="48"/>
      <c r="P412" s="48"/>
      <c r="Q412" s="45"/>
      <c r="R412" s="48"/>
      <c r="S412" s="45"/>
      <c r="T412" s="45"/>
      <c r="U412" s="45"/>
      <c r="V412" s="45"/>
      <c r="W412" s="45"/>
      <c r="X412" s="45"/>
      <c r="Y412" s="49"/>
    </row>
    <row r="413" spans="2:25" ht="12">
      <c r="B413" s="41"/>
      <c r="C413" s="41"/>
      <c r="D413" s="41"/>
      <c r="E413" s="41"/>
      <c r="F413" s="41"/>
      <c r="G413" s="41"/>
      <c r="H413" s="41"/>
      <c r="I413" s="41"/>
      <c r="J413" s="48"/>
      <c r="K413" s="48"/>
      <c r="L413" s="48"/>
      <c r="M413" s="48"/>
      <c r="N413" s="48"/>
      <c r="O413" s="48"/>
      <c r="P413" s="48"/>
      <c r="Q413" s="45"/>
      <c r="R413" s="48"/>
      <c r="S413" s="45"/>
      <c r="T413" s="45"/>
      <c r="U413" s="45"/>
      <c r="V413" s="45"/>
      <c r="W413" s="45"/>
      <c r="X413" s="45"/>
      <c r="Y413" s="49"/>
    </row>
    <row r="414" spans="2:25" ht="12">
      <c r="B414" s="41"/>
      <c r="C414" s="41"/>
      <c r="D414" s="41"/>
      <c r="E414" s="41"/>
      <c r="F414" s="41"/>
      <c r="G414" s="41"/>
      <c r="H414" s="41"/>
      <c r="I414" s="41"/>
      <c r="J414" s="48"/>
      <c r="K414" s="48"/>
      <c r="L414" s="48"/>
      <c r="M414" s="48"/>
      <c r="N414" s="48"/>
      <c r="O414" s="48"/>
      <c r="P414" s="48"/>
      <c r="Q414" s="48"/>
      <c r="R414" s="48"/>
      <c r="S414" s="45"/>
      <c r="T414" s="45"/>
      <c r="U414" s="45"/>
      <c r="V414" s="45"/>
      <c r="W414" s="45"/>
      <c r="X414" s="45"/>
      <c r="Y414" s="49"/>
    </row>
    <row r="415" spans="2:25" ht="12">
      <c r="B415" s="41"/>
      <c r="C415" s="41"/>
      <c r="D415" s="41"/>
      <c r="E415" s="41"/>
      <c r="F415" s="41"/>
      <c r="G415" s="41"/>
      <c r="H415" s="41"/>
      <c r="I415" s="41"/>
      <c r="J415" s="48"/>
      <c r="K415" s="48"/>
      <c r="L415" s="48"/>
      <c r="M415" s="48"/>
      <c r="N415" s="48"/>
      <c r="O415" s="48"/>
      <c r="P415" s="48"/>
      <c r="Q415" s="48"/>
      <c r="R415" s="48"/>
      <c r="S415" s="45"/>
      <c r="T415" s="45"/>
      <c r="U415" s="45"/>
      <c r="V415" s="45"/>
      <c r="W415" s="45"/>
      <c r="X415" s="45"/>
      <c r="Y415" s="49"/>
    </row>
    <row r="416" spans="2:25" ht="12">
      <c r="B416" s="41"/>
      <c r="C416" s="41"/>
      <c r="D416" s="41"/>
      <c r="E416" s="41"/>
      <c r="F416" s="41"/>
      <c r="G416" s="41"/>
      <c r="H416" s="41"/>
      <c r="I416" s="41"/>
      <c r="J416" s="48"/>
      <c r="K416" s="48"/>
      <c r="L416" s="48"/>
      <c r="M416" s="48"/>
      <c r="N416" s="48"/>
      <c r="O416" s="48"/>
      <c r="P416" s="48"/>
      <c r="Q416" s="48"/>
      <c r="R416" s="48"/>
      <c r="S416" s="45"/>
      <c r="T416" s="45"/>
      <c r="U416" s="45"/>
      <c r="V416" s="45"/>
      <c r="W416" s="45"/>
      <c r="X416" s="45"/>
      <c r="Y416" s="49"/>
    </row>
    <row r="417" spans="2:25" ht="12">
      <c r="B417" s="41"/>
      <c r="C417" s="41"/>
      <c r="D417" s="41"/>
      <c r="E417" s="41"/>
      <c r="F417" s="41"/>
      <c r="G417" s="41"/>
      <c r="H417" s="41"/>
      <c r="I417" s="41"/>
      <c r="J417" s="48"/>
      <c r="K417" s="48"/>
      <c r="L417" s="48"/>
      <c r="M417" s="48"/>
      <c r="N417" s="48"/>
      <c r="O417" s="48"/>
      <c r="P417" s="48"/>
      <c r="Q417" s="48"/>
      <c r="R417" s="48"/>
      <c r="S417" s="45"/>
      <c r="T417" s="45"/>
      <c r="U417" s="45"/>
      <c r="V417" s="45"/>
      <c r="W417" s="45"/>
      <c r="X417" s="45"/>
      <c r="Y417" s="49"/>
    </row>
    <row r="418" spans="2:25" ht="12">
      <c r="B418" s="41"/>
      <c r="C418" s="41"/>
      <c r="D418" s="41"/>
      <c r="E418" s="41"/>
      <c r="F418" s="41"/>
      <c r="G418" s="41"/>
      <c r="H418" s="41"/>
      <c r="I418" s="41"/>
      <c r="J418" s="48"/>
      <c r="K418" s="48"/>
      <c r="L418" s="48"/>
      <c r="M418" s="48"/>
      <c r="N418" s="48"/>
      <c r="O418" s="48"/>
      <c r="P418" s="48"/>
      <c r="Q418" s="48"/>
      <c r="R418" s="48"/>
      <c r="S418" s="45"/>
      <c r="T418" s="45"/>
      <c r="U418" s="45"/>
      <c r="V418" s="45"/>
      <c r="W418" s="45"/>
      <c r="X418" s="45"/>
      <c r="Y418" s="49"/>
    </row>
    <row r="419" spans="2:25" ht="12">
      <c r="B419" s="41"/>
      <c r="C419" s="41"/>
      <c r="D419" s="41"/>
      <c r="E419" s="41"/>
      <c r="F419" s="41"/>
      <c r="G419" s="41"/>
      <c r="H419" s="41"/>
      <c r="I419" s="41"/>
      <c r="J419" s="48"/>
      <c r="K419" s="48"/>
      <c r="L419" s="48"/>
      <c r="M419" s="48"/>
      <c r="N419" s="48"/>
      <c r="O419" s="48"/>
      <c r="P419" s="48"/>
      <c r="Q419" s="48"/>
      <c r="R419" s="48"/>
      <c r="S419" s="45"/>
      <c r="T419" s="45"/>
      <c r="U419" s="45"/>
      <c r="V419" s="45"/>
      <c r="W419" s="45"/>
      <c r="X419" s="45"/>
      <c r="Y419" s="49"/>
    </row>
    <row r="420" spans="2:25" ht="12">
      <c r="B420" s="41"/>
      <c r="C420" s="41"/>
      <c r="D420" s="41"/>
      <c r="E420" s="41"/>
      <c r="F420" s="41"/>
      <c r="G420" s="41"/>
      <c r="H420" s="41"/>
      <c r="I420" s="41"/>
      <c r="J420" s="48"/>
      <c r="K420" s="48"/>
      <c r="L420" s="48"/>
      <c r="M420" s="48"/>
      <c r="N420" s="48"/>
      <c r="O420" s="48"/>
      <c r="P420" s="48"/>
      <c r="Q420" s="48"/>
      <c r="R420" s="48"/>
      <c r="S420" s="45"/>
      <c r="T420" s="45"/>
      <c r="U420" s="45"/>
      <c r="V420" s="45"/>
      <c r="W420" s="45"/>
      <c r="X420" s="45"/>
      <c r="Y420" s="49"/>
    </row>
    <row r="421" spans="2:25" ht="12">
      <c r="B421" s="41"/>
      <c r="C421" s="41"/>
      <c r="D421" s="41"/>
      <c r="E421" s="41"/>
      <c r="F421" s="41"/>
      <c r="G421" s="41"/>
      <c r="H421" s="41"/>
      <c r="I421" s="41"/>
      <c r="J421" s="48"/>
      <c r="K421" s="48"/>
      <c r="L421" s="48"/>
      <c r="M421" s="48"/>
      <c r="N421" s="48"/>
      <c r="O421" s="48"/>
      <c r="P421" s="48"/>
      <c r="Q421" s="48"/>
      <c r="R421" s="48"/>
      <c r="S421" s="45"/>
      <c r="T421" s="45"/>
      <c r="U421" s="45"/>
      <c r="V421" s="45"/>
      <c r="W421" s="45"/>
      <c r="X421" s="45"/>
      <c r="Y421" s="49"/>
    </row>
    <row r="422" spans="2:25" ht="12">
      <c r="B422" s="41"/>
      <c r="C422" s="41"/>
      <c r="D422" s="41"/>
      <c r="E422" s="41"/>
      <c r="F422" s="41"/>
      <c r="G422" s="41"/>
      <c r="H422" s="41"/>
      <c r="I422" s="41"/>
      <c r="J422" s="48"/>
      <c r="K422" s="48"/>
      <c r="L422" s="48"/>
      <c r="M422" s="48"/>
      <c r="N422" s="48"/>
      <c r="O422" s="48"/>
      <c r="P422" s="48"/>
      <c r="Q422" s="48"/>
      <c r="R422" s="48"/>
      <c r="S422" s="45"/>
      <c r="T422" s="45"/>
      <c r="U422" s="45"/>
      <c r="V422" s="45"/>
      <c r="W422" s="45"/>
      <c r="X422" s="45"/>
      <c r="Y422" s="49"/>
    </row>
    <row r="423" spans="2:25" ht="12">
      <c r="B423" s="41"/>
      <c r="C423" s="41"/>
      <c r="D423" s="41"/>
      <c r="E423" s="41"/>
      <c r="F423" s="41"/>
      <c r="G423" s="41"/>
      <c r="H423" s="41"/>
      <c r="I423" s="41"/>
      <c r="J423" s="48"/>
      <c r="K423" s="48"/>
      <c r="L423" s="48"/>
      <c r="M423" s="48"/>
      <c r="N423" s="48"/>
      <c r="O423" s="48"/>
      <c r="P423" s="48"/>
      <c r="Q423" s="48"/>
      <c r="R423" s="48"/>
      <c r="S423" s="45"/>
      <c r="T423" s="45"/>
      <c r="U423" s="45"/>
      <c r="V423" s="45"/>
      <c r="W423" s="45"/>
      <c r="X423" s="45"/>
      <c r="Y423" s="49"/>
    </row>
    <row r="424" spans="2:25" ht="12">
      <c r="B424" s="41"/>
      <c r="C424" s="41"/>
      <c r="D424" s="41"/>
      <c r="E424" s="41"/>
      <c r="F424" s="41"/>
      <c r="G424" s="41"/>
      <c r="H424" s="41"/>
      <c r="I424" s="41"/>
      <c r="J424" s="48"/>
      <c r="K424" s="48"/>
      <c r="L424" s="48"/>
      <c r="M424" s="48"/>
      <c r="N424" s="48"/>
      <c r="O424" s="48"/>
      <c r="P424" s="48"/>
      <c r="Q424" s="48"/>
      <c r="R424" s="48"/>
      <c r="S424" s="45"/>
      <c r="T424" s="45"/>
      <c r="U424" s="45"/>
      <c r="V424" s="45"/>
      <c r="W424" s="45"/>
      <c r="X424" s="45"/>
      <c r="Y424" s="49"/>
    </row>
    <row r="425" spans="2:25" ht="12">
      <c r="B425" s="41"/>
      <c r="C425" s="41"/>
      <c r="D425" s="41"/>
      <c r="E425" s="41"/>
      <c r="F425" s="41"/>
      <c r="G425" s="41"/>
      <c r="H425" s="41"/>
      <c r="I425" s="41"/>
      <c r="J425" s="48"/>
      <c r="K425" s="48"/>
      <c r="L425" s="48"/>
      <c r="M425" s="48"/>
      <c r="N425" s="48"/>
      <c r="O425" s="48"/>
      <c r="P425" s="48"/>
      <c r="Q425" s="48"/>
      <c r="R425" s="48"/>
      <c r="S425" s="45"/>
      <c r="T425" s="45"/>
      <c r="U425" s="45"/>
      <c r="V425" s="45"/>
      <c r="W425" s="45"/>
      <c r="X425" s="45"/>
      <c r="Y425" s="49"/>
    </row>
    <row r="426" spans="2:25" ht="12">
      <c r="B426" s="41"/>
      <c r="C426" s="41"/>
      <c r="D426" s="41"/>
      <c r="E426" s="41"/>
      <c r="F426" s="41"/>
      <c r="G426" s="41"/>
      <c r="H426" s="41"/>
      <c r="I426" s="41"/>
      <c r="J426" s="48"/>
      <c r="K426" s="48"/>
      <c r="L426" s="48"/>
      <c r="M426" s="48"/>
      <c r="N426" s="48"/>
      <c r="O426" s="48"/>
      <c r="P426" s="48"/>
      <c r="Q426" s="48"/>
      <c r="R426" s="48"/>
      <c r="S426" s="45"/>
      <c r="T426" s="45"/>
      <c r="U426" s="45"/>
      <c r="V426" s="45"/>
      <c r="W426" s="45"/>
      <c r="X426" s="45"/>
      <c r="Y426" s="49"/>
    </row>
    <row r="427" spans="2:25" ht="12">
      <c r="B427" s="41"/>
      <c r="C427" s="41"/>
      <c r="D427" s="41"/>
      <c r="E427" s="41"/>
      <c r="F427" s="41"/>
      <c r="G427" s="41"/>
      <c r="H427" s="41"/>
      <c r="I427" s="41"/>
      <c r="J427" s="48"/>
      <c r="K427" s="48"/>
      <c r="L427" s="48"/>
      <c r="M427" s="48"/>
      <c r="N427" s="48"/>
      <c r="O427" s="48"/>
      <c r="P427" s="48"/>
      <c r="Q427" s="48"/>
      <c r="R427" s="48"/>
      <c r="S427" s="45"/>
      <c r="T427" s="45"/>
      <c r="U427" s="45"/>
      <c r="V427" s="45"/>
      <c r="W427" s="45"/>
      <c r="X427" s="45"/>
      <c r="Y427" s="49"/>
    </row>
    <row r="428" spans="2:25" ht="12">
      <c r="B428" s="41"/>
      <c r="C428" s="41"/>
      <c r="D428" s="41"/>
      <c r="E428" s="41"/>
      <c r="F428" s="41"/>
      <c r="G428" s="41"/>
      <c r="H428" s="41"/>
      <c r="I428" s="41"/>
      <c r="J428" s="48"/>
      <c r="K428" s="48"/>
      <c r="L428" s="48"/>
      <c r="M428" s="48"/>
      <c r="N428" s="48"/>
      <c r="O428" s="48"/>
      <c r="P428" s="48"/>
      <c r="Q428" s="48"/>
      <c r="R428" s="48"/>
      <c r="S428" s="45"/>
      <c r="T428" s="45"/>
      <c r="U428" s="45"/>
      <c r="V428" s="45"/>
      <c r="W428" s="45"/>
      <c r="X428" s="45"/>
      <c r="Y428" s="49"/>
    </row>
    <row r="429" spans="2:25" ht="12">
      <c r="B429" s="41"/>
      <c r="C429" s="41"/>
      <c r="D429" s="41"/>
      <c r="E429" s="41"/>
      <c r="F429" s="41"/>
      <c r="G429" s="41"/>
      <c r="H429" s="41"/>
      <c r="I429" s="41"/>
      <c r="J429" s="48"/>
      <c r="K429" s="48"/>
      <c r="L429" s="48"/>
      <c r="M429" s="48"/>
      <c r="N429" s="48"/>
      <c r="O429" s="48"/>
      <c r="P429" s="48"/>
      <c r="Q429" s="48"/>
      <c r="R429" s="48"/>
      <c r="S429" s="45"/>
      <c r="T429" s="45"/>
      <c r="U429" s="45"/>
      <c r="V429" s="45"/>
      <c r="W429" s="45"/>
      <c r="X429" s="45"/>
      <c r="Y429" s="49"/>
    </row>
    <row r="430" spans="2:25" ht="12">
      <c r="B430" s="41"/>
      <c r="C430" s="41"/>
      <c r="D430" s="41"/>
      <c r="E430" s="41"/>
      <c r="F430" s="41"/>
      <c r="G430" s="41"/>
      <c r="H430" s="41"/>
      <c r="I430" s="41"/>
      <c r="J430" s="48"/>
      <c r="K430" s="48"/>
      <c r="L430" s="48"/>
      <c r="M430" s="48"/>
      <c r="N430" s="48"/>
      <c r="O430" s="48"/>
      <c r="P430" s="48"/>
      <c r="Q430" s="48"/>
      <c r="R430" s="48"/>
      <c r="S430" s="45"/>
      <c r="T430" s="45"/>
      <c r="U430" s="45"/>
      <c r="V430" s="45"/>
      <c r="W430" s="45"/>
      <c r="X430" s="45"/>
      <c r="Y430" s="49"/>
    </row>
    <row r="431" spans="2:25" ht="12">
      <c r="B431" s="41"/>
      <c r="C431" s="41"/>
      <c r="D431" s="41"/>
      <c r="E431" s="41"/>
      <c r="F431" s="41"/>
      <c r="G431" s="41"/>
      <c r="H431" s="41"/>
      <c r="I431" s="41"/>
      <c r="J431" s="48"/>
      <c r="K431" s="48"/>
      <c r="L431" s="48"/>
      <c r="M431" s="48"/>
      <c r="N431" s="48"/>
      <c r="O431" s="48"/>
      <c r="P431" s="48"/>
      <c r="Q431" s="48"/>
      <c r="R431" s="48"/>
      <c r="S431" s="45"/>
      <c r="T431" s="45"/>
      <c r="U431" s="45"/>
      <c r="V431" s="45"/>
      <c r="W431" s="45"/>
      <c r="X431" s="45"/>
      <c r="Y431" s="49"/>
    </row>
    <row r="432" spans="2:25" ht="12">
      <c r="B432" s="41"/>
      <c r="C432" s="41"/>
      <c r="D432" s="41"/>
      <c r="E432" s="41"/>
      <c r="F432" s="41"/>
      <c r="G432" s="41"/>
      <c r="H432" s="41"/>
      <c r="I432" s="41"/>
      <c r="J432" s="48"/>
      <c r="K432" s="48"/>
      <c r="L432" s="48"/>
      <c r="M432" s="48"/>
      <c r="N432" s="48"/>
      <c r="O432" s="48"/>
      <c r="P432" s="48"/>
      <c r="Q432" s="48"/>
      <c r="R432" s="48"/>
      <c r="S432" s="45"/>
      <c r="T432" s="45"/>
      <c r="U432" s="45"/>
      <c r="V432" s="45"/>
      <c r="W432" s="45"/>
      <c r="X432" s="45"/>
      <c r="Y432" s="49"/>
    </row>
    <row r="433" spans="2:25" ht="12">
      <c r="B433" s="41"/>
      <c r="C433" s="41"/>
      <c r="D433" s="41"/>
      <c r="E433" s="41"/>
      <c r="F433" s="41"/>
      <c r="G433" s="41"/>
      <c r="H433" s="41"/>
      <c r="I433" s="41"/>
      <c r="J433" s="48"/>
      <c r="K433" s="48"/>
      <c r="L433" s="48"/>
      <c r="M433" s="48"/>
      <c r="N433" s="48"/>
      <c r="O433" s="48"/>
      <c r="P433" s="48"/>
      <c r="Q433" s="48"/>
      <c r="R433" s="48"/>
      <c r="S433" s="45"/>
      <c r="T433" s="45"/>
      <c r="U433" s="45"/>
      <c r="V433" s="45"/>
      <c r="W433" s="45"/>
      <c r="X433" s="41"/>
      <c r="Y433" s="49"/>
    </row>
    <row r="434" spans="2:25" ht="12">
      <c r="B434" s="41"/>
      <c r="C434" s="41"/>
      <c r="D434" s="41"/>
      <c r="E434" s="41"/>
      <c r="F434" s="41"/>
      <c r="G434" s="41"/>
      <c r="H434" s="41"/>
      <c r="I434" s="41"/>
      <c r="J434" s="48"/>
      <c r="K434" s="48"/>
      <c r="L434" s="48"/>
      <c r="M434" s="48"/>
      <c r="N434" s="48"/>
      <c r="O434" s="48"/>
      <c r="P434" s="48"/>
      <c r="Q434" s="48"/>
      <c r="R434" s="48"/>
      <c r="S434" s="45"/>
      <c r="T434" s="45"/>
      <c r="U434" s="45"/>
      <c r="V434" s="45"/>
      <c r="W434" s="45"/>
      <c r="X434" s="41"/>
      <c r="Y434" s="49"/>
    </row>
    <row r="435" spans="2:25" ht="12">
      <c r="B435" s="41"/>
      <c r="C435" s="41"/>
      <c r="D435" s="41"/>
      <c r="E435" s="41"/>
      <c r="F435" s="41"/>
      <c r="G435" s="41"/>
      <c r="H435" s="41"/>
      <c r="I435" s="41"/>
      <c r="J435" s="48"/>
      <c r="K435" s="48"/>
      <c r="L435" s="48"/>
      <c r="M435" s="48"/>
      <c r="N435" s="48"/>
      <c r="O435" s="48"/>
      <c r="P435" s="48"/>
      <c r="Q435" s="48"/>
      <c r="R435" s="48"/>
      <c r="S435" s="45"/>
      <c r="T435" s="45"/>
      <c r="U435" s="45"/>
      <c r="V435" s="45"/>
      <c r="W435" s="45"/>
      <c r="X435" s="41"/>
      <c r="Y435" s="49"/>
    </row>
    <row r="436" spans="2:25" ht="12">
      <c r="B436" s="41"/>
      <c r="C436" s="41"/>
      <c r="D436" s="41"/>
      <c r="E436" s="41"/>
      <c r="F436" s="41"/>
      <c r="G436" s="41"/>
      <c r="H436" s="41"/>
      <c r="I436" s="41"/>
      <c r="J436" s="48"/>
      <c r="K436" s="48"/>
      <c r="L436" s="48"/>
      <c r="M436" s="48"/>
      <c r="N436" s="48"/>
      <c r="O436" s="48"/>
      <c r="P436" s="48"/>
      <c r="Q436" s="48"/>
      <c r="R436" s="48"/>
      <c r="S436" s="45"/>
      <c r="T436" s="45"/>
      <c r="U436" s="45"/>
      <c r="V436" s="45"/>
      <c r="W436" s="45"/>
      <c r="X436" s="41"/>
      <c r="Y436" s="49"/>
    </row>
    <row r="437" spans="2:25" ht="12">
      <c r="B437" s="41"/>
      <c r="C437" s="41"/>
      <c r="D437" s="41"/>
      <c r="E437" s="41"/>
      <c r="F437" s="41"/>
      <c r="G437" s="41"/>
      <c r="H437" s="41"/>
      <c r="I437" s="41"/>
      <c r="J437" s="48"/>
      <c r="K437" s="48"/>
      <c r="L437" s="48"/>
      <c r="M437" s="48"/>
      <c r="N437" s="48"/>
      <c r="O437" s="48"/>
      <c r="P437" s="48"/>
      <c r="Q437" s="48"/>
      <c r="S437" s="45"/>
      <c r="T437" s="45"/>
      <c r="U437" s="45"/>
      <c r="V437" s="45"/>
      <c r="W437" s="45"/>
      <c r="X437" s="41"/>
      <c r="Y437" s="49"/>
    </row>
    <row r="438" spans="2:25" ht="12">
      <c r="B438" s="41"/>
      <c r="C438" s="41"/>
      <c r="D438" s="41"/>
      <c r="E438" s="41"/>
      <c r="F438" s="41"/>
      <c r="G438" s="41"/>
      <c r="H438" s="41"/>
      <c r="I438" s="41"/>
      <c r="J438" s="48"/>
      <c r="K438" s="48"/>
      <c r="L438" s="48"/>
      <c r="M438" s="48"/>
      <c r="N438" s="48"/>
      <c r="O438" s="48"/>
      <c r="P438" s="48"/>
      <c r="Q438" s="48"/>
      <c r="S438" s="45"/>
      <c r="T438" s="45"/>
      <c r="U438" s="45"/>
      <c r="V438" s="45"/>
      <c r="W438" s="45"/>
      <c r="X438" s="41"/>
      <c r="Y438" s="49"/>
    </row>
    <row r="439" spans="2:25" ht="12">
      <c r="B439" s="41"/>
      <c r="C439" s="41"/>
      <c r="D439" s="41"/>
      <c r="E439" s="41"/>
      <c r="F439" s="41"/>
      <c r="G439" s="41"/>
      <c r="H439" s="41"/>
      <c r="I439" s="41"/>
      <c r="J439" s="48"/>
      <c r="K439" s="48"/>
      <c r="L439" s="48"/>
      <c r="M439" s="48"/>
      <c r="N439" s="48"/>
      <c r="O439" s="48"/>
      <c r="P439" s="48"/>
      <c r="Q439" s="48"/>
      <c r="S439" s="45"/>
      <c r="T439" s="45"/>
      <c r="U439" s="45"/>
      <c r="V439" s="45"/>
      <c r="W439" s="45"/>
      <c r="X439" s="41"/>
      <c r="Y439" s="49"/>
    </row>
    <row r="440" spans="2:25" ht="12">
      <c r="B440" s="41"/>
      <c r="C440" s="41"/>
      <c r="D440" s="41"/>
      <c r="E440" s="41"/>
      <c r="F440" s="41"/>
      <c r="G440" s="41"/>
      <c r="H440" s="41"/>
      <c r="I440" s="41"/>
      <c r="J440" s="48"/>
      <c r="K440" s="48"/>
      <c r="L440" s="48"/>
      <c r="M440" s="48"/>
      <c r="N440" s="48"/>
      <c r="O440" s="48"/>
      <c r="P440" s="48"/>
      <c r="Q440" s="48"/>
      <c r="S440" s="45"/>
      <c r="T440" s="45"/>
      <c r="U440" s="45"/>
      <c r="V440" s="45"/>
      <c r="W440" s="45"/>
      <c r="X440" s="41"/>
      <c r="Y440" s="49"/>
    </row>
    <row r="441" spans="2:25" ht="12">
      <c r="B441" s="41"/>
      <c r="C441" s="41"/>
      <c r="D441" s="41"/>
      <c r="E441" s="41"/>
      <c r="F441" s="41"/>
      <c r="G441" s="41"/>
      <c r="H441" s="41"/>
      <c r="I441" s="41"/>
      <c r="J441" s="48"/>
      <c r="K441" s="48"/>
      <c r="L441" s="48"/>
      <c r="M441" s="48"/>
      <c r="N441" s="48"/>
      <c r="O441" s="48"/>
      <c r="P441" s="48"/>
      <c r="Q441" s="48"/>
      <c r="S441" s="45"/>
      <c r="T441" s="45"/>
      <c r="U441" s="45"/>
      <c r="V441" s="45"/>
      <c r="W441" s="45"/>
      <c r="X441" s="41"/>
      <c r="Y441" s="49"/>
    </row>
    <row r="442" spans="2:25" ht="12">
      <c r="B442" s="41"/>
      <c r="C442" s="41"/>
      <c r="D442" s="41"/>
      <c r="E442" s="41"/>
      <c r="F442" s="41"/>
      <c r="G442" s="41"/>
      <c r="H442" s="41"/>
      <c r="I442" s="41"/>
      <c r="J442" s="48"/>
      <c r="K442" s="48"/>
      <c r="L442" s="48"/>
      <c r="M442" s="48"/>
      <c r="N442" s="48"/>
      <c r="O442" s="48"/>
      <c r="P442" s="48"/>
      <c r="Q442" s="48"/>
      <c r="S442" s="45"/>
      <c r="T442" s="45"/>
      <c r="U442" s="45"/>
      <c r="V442" s="45"/>
      <c r="W442" s="45"/>
      <c r="X442" s="41"/>
      <c r="Y442" s="49"/>
    </row>
    <row r="443" spans="2:25" ht="12">
      <c r="B443" s="41"/>
      <c r="C443" s="41"/>
      <c r="D443" s="41"/>
      <c r="E443" s="41"/>
      <c r="F443" s="41"/>
      <c r="G443" s="41"/>
      <c r="H443" s="41"/>
      <c r="I443" s="41"/>
      <c r="J443" s="48"/>
      <c r="K443" s="48"/>
      <c r="L443" s="48"/>
      <c r="M443" s="48"/>
      <c r="N443" s="48"/>
      <c r="O443" s="48"/>
      <c r="P443" s="48"/>
      <c r="Q443" s="48"/>
      <c r="S443" s="45"/>
      <c r="T443" s="45"/>
      <c r="U443" s="45"/>
      <c r="V443" s="45"/>
      <c r="W443" s="45"/>
      <c r="X443" s="41"/>
      <c r="Y443" s="49"/>
    </row>
    <row r="444" spans="2:25" ht="12">
      <c r="B444" s="41"/>
      <c r="C444" s="41"/>
      <c r="D444" s="41"/>
      <c r="E444" s="41"/>
      <c r="F444" s="41"/>
      <c r="G444" s="41"/>
      <c r="H444" s="41"/>
      <c r="I444" s="41"/>
      <c r="J444" s="48"/>
      <c r="K444" s="48"/>
      <c r="L444" s="48"/>
      <c r="M444" s="48"/>
      <c r="N444" s="48"/>
      <c r="O444" s="48"/>
      <c r="P444" s="48"/>
      <c r="Q444" s="48"/>
      <c r="S444" s="45"/>
      <c r="T444" s="45"/>
      <c r="U444" s="45"/>
      <c r="V444" s="45"/>
      <c r="W444" s="45"/>
      <c r="X444" s="41"/>
      <c r="Y444" s="49"/>
    </row>
    <row r="445" spans="2:25" ht="12">
      <c r="B445" s="41"/>
      <c r="C445" s="41"/>
      <c r="D445" s="41"/>
      <c r="E445" s="41"/>
      <c r="F445" s="41"/>
      <c r="G445" s="41"/>
      <c r="H445" s="41"/>
      <c r="I445" s="41"/>
      <c r="J445" s="48"/>
      <c r="K445" s="48"/>
      <c r="L445" s="48"/>
      <c r="M445" s="48"/>
      <c r="N445" s="48"/>
      <c r="O445" s="48"/>
      <c r="P445" s="48"/>
      <c r="Q445" s="48"/>
      <c r="S445" s="45"/>
      <c r="T445" s="45"/>
      <c r="U445" s="45"/>
      <c r="V445" s="45"/>
      <c r="W445" s="41"/>
      <c r="X445" s="41"/>
      <c r="Y445" s="49"/>
    </row>
    <row r="446" spans="2:25" ht="12">
      <c r="B446" s="41"/>
      <c r="C446" s="41"/>
      <c r="D446" s="41"/>
      <c r="E446" s="41"/>
      <c r="F446" s="41"/>
      <c r="G446" s="41"/>
      <c r="H446" s="41"/>
      <c r="I446" s="41"/>
      <c r="J446" s="48"/>
      <c r="K446" s="48"/>
      <c r="L446" s="48"/>
      <c r="M446" s="48"/>
      <c r="N446" s="48"/>
      <c r="O446" s="48"/>
      <c r="P446" s="48"/>
      <c r="Q446" s="48"/>
      <c r="S446" s="45"/>
      <c r="T446" s="45"/>
      <c r="U446" s="45"/>
      <c r="V446" s="45"/>
      <c r="W446" s="41"/>
      <c r="X446" s="41"/>
      <c r="Y446" s="49"/>
    </row>
    <row r="447" spans="2:25" ht="12">
      <c r="B447" s="41"/>
      <c r="C447" s="41"/>
      <c r="D447" s="41"/>
      <c r="E447" s="41"/>
      <c r="F447" s="41"/>
      <c r="G447" s="41"/>
      <c r="H447" s="41"/>
      <c r="I447" s="41"/>
      <c r="J447" s="48"/>
      <c r="K447" s="48"/>
      <c r="L447" s="48"/>
      <c r="M447" s="48"/>
      <c r="N447" s="48"/>
      <c r="O447" s="48"/>
      <c r="P447" s="48"/>
      <c r="Q447" s="48"/>
      <c r="S447" s="45"/>
      <c r="T447" s="45"/>
      <c r="U447" s="41"/>
      <c r="V447" s="41"/>
      <c r="W447" s="41"/>
      <c r="X447" s="41"/>
      <c r="Y447" s="49"/>
    </row>
    <row r="448" spans="2:25" ht="12">
      <c r="B448" s="41"/>
      <c r="C448" s="41"/>
      <c r="D448" s="41"/>
      <c r="E448" s="41"/>
      <c r="F448" s="41"/>
      <c r="G448" s="41"/>
      <c r="H448" s="41"/>
      <c r="I448" s="41"/>
      <c r="J448" s="48"/>
      <c r="K448" s="48"/>
      <c r="L448" s="48"/>
      <c r="M448" s="48"/>
      <c r="N448" s="48"/>
      <c r="O448" s="48"/>
      <c r="P448" s="48"/>
      <c r="Q448" s="48"/>
      <c r="S448" s="45"/>
      <c r="T448" s="45"/>
      <c r="U448" s="41"/>
      <c r="V448" s="41"/>
      <c r="W448" s="41"/>
      <c r="X448" s="41"/>
      <c r="Y448" s="49"/>
    </row>
    <row r="449" spans="2:25" ht="12">
      <c r="B449" s="41"/>
      <c r="C449" s="41"/>
      <c r="D449" s="41"/>
      <c r="E449" s="41"/>
      <c r="F449" s="41"/>
      <c r="G449" s="41"/>
      <c r="H449" s="41"/>
      <c r="I449" s="41"/>
      <c r="J449" s="48"/>
      <c r="K449" s="48"/>
      <c r="L449" s="48"/>
      <c r="M449" s="48"/>
      <c r="N449" s="48"/>
      <c r="O449" s="48"/>
      <c r="P449" s="48"/>
      <c r="Q449" s="48"/>
      <c r="S449" s="45"/>
      <c r="T449" s="45"/>
      <c r="U449" s="41"/>
      <c r="V449" s="41"/>
      <c r="W449" s="41"/>
      <c r="X449" s="41"/>
      <c r="Y449" s="49"/>
    </row>
    <row r="450" spans="2:25" ht="12">
      <c r="B450" s="41"/>
      <c r="C450" s="41"/>
      <c r="D450" s="41"/>
      <c r="E450" s="41"/>
      <c r="F450" s="41"/>
      <c r="G450" s="41"/>
      <c r="H450" s="41"/>
      <c r="I450" s="41"/>
      <c r="J450" s="48"/>
      <c r="K450" s="48"/>
      <c r="L450" s="48"/>
      <c r="M450" s="48"/>
      <c r="N450" s="48"/>
      <c r="O450" s="48"/>
      <c r="P450" s="48"/>
      <c r="Q450" s="48"/>
      <c r="S450" s="45"/>
      <c r="T450" s="45"/>
      <c r="U450" s="41"/>
      <c r="V450" s="41"/>
      <c r="W450" s="41"/>
      <c r="X450" s="41"/>
      <c r="Y450" s="49"/>
    </row>
    <row r="451" spans="2:25" ht="12">
      <c r="B451" s="41"/>
      <c r="C451" s="41"/>
      <c r="D451" s="41"/>
      <c r="E451" s="41"/>
      <c r="F451" s="41"/>
      <c r="G451" s="41"/>
      <c r="H451" s="41"/>
      <c r="I451" s="41"/>
      <c r="J451" s="48"/>
      <c r="K451" s="48"/>
      <c r="L451" s="48"/>
      <c r="M451" s="48"/>
      <c r="N451" s="48"/>
      <c r="O451" s="48"/>
      <c r="P451" s="48"/>
      <c r="Q451" s="48"/>
      <c r="S451" s="45"/>
      <c r="T451" s="45"/>
      <c r="U451" s="41"/>
      <c r="V451" s="41"/>
      <c r="W451" s="41"/>
      <c r="X451" s="41"/>
      <c r="Y451" s="49"/>
    </row>
    <row r="452" spans="2:25" ht="12">
      <c r="B452" s="41"/>
      <c r="C452" s="41"/>
      <c r="D452" s="41"/>
      <c r="E452" s="41"/>
      <c r="F452" s="41"/>
      <c r="G452" s="41"/>
      <c r="H452" s="41"/>
      <c r="I452" s="41"/>
      <c r="J452" s="48"/>
      <c r="K452" s="48"/>
      <c r="L452" s="48"/>
      <c r="M452" s="48"/>
      <c r="N452" s="48"/>
      <c r="O452" s="48"/>
      <c r="P452" s="48"/>
      <c r="Q452" s="48"/>
      <c r="S452" s="45"/>
      <c r="T452" s="45"/>
      <c r="U452" s="41"/>
      <c r="V452" s="41"/>
      <c r="W452" s="41"/>
      <c r="X452" s="41"/>
      <c r="Y452" s="49"/>
    </row>
    <row r="453" spans="2:25" ht="12">
      <c r="B453" s="41"/>
      <c r="C453" s="41"/>
      <c r="D453" s="41"/>
      <c r="E453" s="41"/>
      <c r="F453" s="41"/>
      <c r="G453" s="41"/>
      <c r="H453" s="41"/>
      <c r="I453" s="41"/>
      <c r="J453" s="48"/>
      <c r="K453" s="48"/>
      <c r="L453" s="48"/>
      <c r="M453" s="48"/>
      <c r="N453" s="48"/>
      <c r="O453" s="48"/>
      <c r="P453" s="48"/>
      <c r="Q453" s="48"/>
      <c r="S453" s="45"/>
      <c r="T453" s="45"/>
      <c r="U453" s="41"/>
      <c r="V453" s="41"/>
      <c r="W453" s="41"/>
      <c r="X453" s="41"/>
      <c r="Y453" s="49"/>
    </row>
    <row r="454" spans="2:25" ht="12">
      <c r="B454" s="41"/>
      <c r="C454" s="41"/>
      <c r="D454" s="41"/>
      <c r="E454" s="41"/>
      <c r="F454" s="41"/>
      <c r="G454" s="41"/>
      <c r="H454" s="41"/>
      <c r="I454" s="41"/>
      <c r="J454" s="48"/>
      <c r="K454" s="48"/>
      <c r="L454" s="48"/>
      <c r="M454" s="48"/>
      <c r="N454" s="48"/>
      <c r="O454" s="48"/>
      <c r="P454" s="48"/>
      <c r="Q454" s="48"/>
      <c r="S454" s="45"/>
      <c r="T454" s="45"/>
      <c r="U454" s="41"/>
      <c r="V454" s="41"/>
      <c r="W454" s="41"/>
      <c r="X454" s="41"/>
      <c r="Y454" s="49"/>
    </row>
    <row r="455" spans="2:25" ht="12">
      <c r="B455" s="41"/>
      <c r="C455" s="41"/>
      <c r="D455" s="41"/>
      <c r="E455" s="41"/>
      <c r="F455" s="41"/>
      <c r="G455" s="41"/>
      <c r="H455" s="41"/>
      <c r="I455" s="41"/>
      <c r="J455" s="48"/>
      <c r="K455" s="48"/>
      <c r="L455" s="48"/>
      <c r="M455" s="48"/>
      <c r="N455" s="48"/>
      <c r="O455" s="48"/>
      <c r="P455" s="48"/>
      <c r="Q455" s="48"/>
      <c r="S455" s="45"/>
      <c r="T455" s="45"/>
      <c r="U455" s="41"/>
      <c r="V455" s="41"/>
      <c r="W455" s="41"/>
      <c r="X455" s="41"/>
      <c r="Y455" s="49"/>
    </row>
    <row r="456" spans="2:25" ht="12">
      <c r="B456" s="41"/>
      <c r="C456" s="41"/>
      <c r="D456" s="41"/>
      <c r="E456" s="41"/>
      <c r="F456" s="41"/>
      <c r="G456" s="41"/>
      <c r="H456" s="41"/>
      <c r="I456" s="41"/>
      <c r="J456" s="48"/>
      <c r="K456" s="48"/>
      <c r="L456" s="48"/>
      <c r="M456" s="48"/>
      <c r="N456" s="48"/>
      <c r="O456" s="48"/>
      <c r="P456" s="48"/>
      <c r="Q456" s="48"/>
      <c r="S456" s="45"/>
      <c r="T456" s="45"/>
      <c r="U456" s="41"/>
      <c r="V456" s="41"/>
      <c r="W456" s="41"/>
      <c r="X456" s="41"/>
      <c r="Y456" s="49"/>
    </row>
    <row r="457" spans="2:25" ht="9.75">
      <c r="B457" s="41"/>
      <c r="C457" s="41"/>
      <c r="D457" s="41"/>
      <c r="E457" s="41"/>
      <c r="F457" s="41"/>
      <c r="G457" s="41"/>
      <c r="H457" s="41"/>
      <c r="I457" s="41"/>
      <c r="J457" s="48"/>
      <c r="K457" s="48"/>
      <c r="L457" s="48"/>
      <c r="M457" s="48"/>
      <c r="N457" s="48"/>
      <c r="O457" s="48"/>
      <c r="P457" s="48"/>
      <c r="Q457" s="48"/>
      <c r="S457" s="48"/>
      <c r="T457" s="48"/>
      <c r="U457" s="41"/>
      <c r="V457" s="41"/>
      <c r="W457" s="41"/>
      <c r="X457" s="41"/>
      <c r="Y457" s="49"/>
    </row>
    <row r="458" spans="2:25" ht="9.75">
      <c r="B458" s="41"/>
      <c r="C458" s="41"/>
      <c r="D458" s="41"/>
      <c r="E458" s="41"/>
      <c r="F458" s="41"/>
      <c r="G458" s="41"/>
      <c r="H458" s="41"/>
      <c r="I458" s="41"/>
      <c r="J458" s="48"/>
      <c r="K458" s="48"/>
      <c r="L458" s="48"/>
      <c r="M458" s="48"/>
      <c r="N458" s="48"/>
      <c r="O458" s="48"/>
      <c r="P458" s="48"/>
      <c r="Q458" s="48"/>
      <c r="S458" s="48"/>
      <c r="T458" s="48"/>
      <c r="U458" s="41"/>
      <c r="V458" s="41"/>
      <c r="W458" s="41"/>
      <c r="X458" s="41"/>
      <c r="Y458" s="49"/>
    </row>
    <row r="459" spans="2:25" ht="9.75">
      <c r="B459" s="41"/>
      <c r="C459" s="41"/>
      <c r="D459" s="41"/>
      <c r="E459" s="41"/>
      <c r="F459" s="41"/>
      <c r="G459" s="41"/>
      <c r="H459" s="41"/>
      <c r="I459" s="41"/>
      <c r="J459" s="48"/>
      <c r="K459" s="48"/>
      <c r="L459" s="48"/>
      <c r="M459" s="48"/>
      <c r="N459" s="48"/>
      <c r="O459" s="48"/>
      <c r="P459" s="48"/>
      <c r="Q459" s="48"/>
      <c r="S459" s="48"/>
      <c r="T459" s="48"/>
      <c r="U459" s="41"/>
      <c r="V459" s="41"/>
      <c r="W459" s="41"/>
      <c r="X459" s="41"/>
      <c r="Y459" s="49"/>
    </row>
    <row r="460" spans="2:25" ht="9.75">
      <c r="B460" s="41"/>
      <c r="C460" s="41"/>
      <c r="D460" s="41"/>
      <c r="E460" s="41"/>
      <c r="F460" s="41"/>
      <c r="G460" s="41"/>
      <c r="H460" s="41"/>
      <c r="I460" s="41"/>
      <c r="J460" s="48"/>
      <c r="K460" s="48"/>
      <c r="L460" s="48"/>
      <c r="M460" s="48"/>
      <c r="N460" s="48"/>
      <c r="O460" s="48"/>
      <c r="P460" s="48"/>
      <c r="Q460" s="48"/>
      <c r="S460" s="48"/>
      <c r="T460" s="48"/>
      <c r="U460" s="41"/>
      <c r="V460" s="41"/>
      <c r="W460" s="41"/>
      <c r="X460" s="41"/>
      <c r="Y460" s="49"/>
    </row>
    <row r="461" spans="2:25" ht="9.75">
      <c r="B461" s="41"/>
      <c r="C461" s="41"/>
      <c r="D461" s="41"/>
      <c r="E461" s="41"/>
      <c r="F461" s="41"/>
      <c r="G461" s="41"/>
      <c r="H461" s="41"/>
      <c r="I461" s="41"/>
      <c r="J461" s="48"/>
      <c r="K461" s="48"/>
      <c r="L461" s="48"/>
      <c r="M461" s="48"/>
      <c r="N461" s="48"/>
      <c r="O461" s="48"/>
      <c r="P461" s="48"/>
      <c r="Q461" s="48"/>
      <c r="S461" s="48"/>
      <c r="T461" s="48"/>
      <c r="U461" s="41"/>
      <c r="V461" s="41"/>
      <c r="W461" s="41"/>
      <c r="X461" s="41"/>
      <c r="Y461" s="49"/>
    </row>
    <row r="462" spans="2:25" ht="9.75">
      <c r="B462" s="41"/>
      <c r="C462" s="41"/>
      <c r="D462" s="41"/>
      <c r="E462" s="41"/>
      <c r="F462" s="41"/>
      <c r="G462" s="41"/>
      <c r="H462" s="41"/>
      <c r="I462" s="41"/>
      <c r="J462" s="48"/>
      <c r="K462" s="48"/>
      <c r="L462" s="48"/>
      <c r="M462" s="48"/>
      <c r="N462" s="48"/>
      <c r="O462" s="48"/>
      <c r="P462" s="48"/>
      <c r="Q462" s="48"/>
      <c r="S462" s="48"/>
      <c r="T462" s="48"/>
      <c r="U462" s="41"/>
      <c r="V462" s="41"/>
      <c r="W462" s="41"/>
      <c r="X462" s="41"/>
      <c r="Y462" s="49"/>
    </row>
    <row r="463" spans="2:24" ht="9.75">
      <c r="B463" s="41"/>
      <c r="C463" s="41"/>
      <c r="D463" s="41"/>
      <c r="E463" s="41"/>
      <c r="F463" s="41"/>
      <c r="G463" s="41"/>
      <c r="H463" s="41"/>
      <c r="I463" s="41"/>
      <c r="J463" s="48"/>
      <c r="K463" s="48"/>
      <c r="L463" s="48"/>
      <c r="M463" s="48"/>
      <c r="N463" s="48"/>
      <c r="O463" s="48"/>
      <c r="P463" s="48"/>
      <c r="Q463" s="48"/>
      <c r="S463" s="48"/>
      <c r="T463" s="48"/>
      <c r="U463" s="41"/>
      <c r="V463" s="41"/>
      <c r="W463" s="41"/>
      <c r="X463" s="41"/>
    </row>
    <row r="464" spans="2:24" ht="9.75">
      <c r="B464" s="41"/>
      <c r="C464" s="41"/>
      <c r="D464" s="41"/>
      <c r="E464" s="41"/>
      <c r="F464" s="41"/>
      <c r="G464" s="41"/>
      <c r="H464" s="41"/>
      <c r="I464" s="41"/>
      <c r="J464" s="48"/>
      <c r="K464" s="48"/>
      <c r="L464" s="48"/>
      <c r="M464" s="48"/>
      <c r="N464" s="48"/>
      <c r="O464" s="48"/>
      <c r="P464" s="48"/>
      <c r="Q464" s="48"/>
      <c r="S464" s="48"/>
      <c r="T464" s="48"/>
      <c r="U464" s="41"/>
      <c r="V464" s="41"/>
      <c r="W464" s="41"/>
      <c r="X464" s="41"/>
    </row>
    <row r="465" spans="2:24" ht="9.75">
      <c r="B465" s="41"/>
      <c r="C465" s="41"/>
      <c r="D465" s="41"/>
      <c r="E465" s="41"/>
      <c r="F465" s="41"/>
      <c r="G465" s="41"/>
      <c r="H465" s="41"/>
      <c r="I465" s="41"/>
      <c r="J465" s="48"/>
      <c r="K465" s="48"/>
      <c r="L465" s="48"/>
      <c r="M465" s="48"/>
      <c r="N465" s="48"/>
      <c r="O465" s="48"/>
      <c r="P465" s="48"/>
      <c r="Q465" s="48"/>
      <c r="S465" s="48"/>
      <c r="T465" s="48"/>
      <c r="U465" s="41"/>
      <c r="V465" s="41"/>
      <c r="W465" s="41"/>
      <c r="X465" s="41"/>
    </row>
    <row r="466" spans="2:24" ht="9.75">
      <c r="B466" s="41"/>
      <c r="C466" s="41"/>
      <c r="D466" s="41"/>
      <c r="E466" s="41"/>
      <c r="F466" s="41"/>
      <c r="G466" s="41"/>
      <c r="H466" s="41"/>
      <c r="I466" s="41"/>
      <c r="J466" s="48"/>
      <c r="K466" s="48"/>
      <c r="L466" s="48"/>
      <c r="M466" s="48"/>
      <c r="N466" s="48"/>
      <c r="O466" s="48"/>
      <c r="P466" s="48"/>
      <c r="Q466" s="48"/>
      <c r="S466" s="48"/>
      <c r="T466" s="48"/>
      <c r="U466" s="41"/>
      <c r="V466" s="41"/>
      <c r="W466" s="41"/>
      <c r="X466" s="41"/>
    </row>
    <row r="467" spans="2:24" ht="9.75">
      <c r="B467" s="41"/>
      <c r="C467" s="41"/>
      <c r="D467" s="41"/>
      <c r="E467" s="41"/>
      <c r="F467" s="41"/>
      <c r="G467" s="41"/>
      <c r="H467" s="41"/>
      <c r="I467" s="41"/>
      <c r="J467" s="48"/>
      <c r="K467" s="48"/>
      <c r="L467" s="48"/>
      <c r="M467" s="48"/>
      <c r="N467" s="48"/>
      <c r="O467" s="48"/>
      <c r="P467" s="48"/>
      <c r="Q467" s="48"/>
      <c r="S467" s="48"/>
      <c r="T467" s="48"/>
      <c r="U467" s="41"/>
      <c r="V467" s="41"/>
      <c r="W467" s="41"/>
      <c r="X467" s="41"/>
    </row>
    <row r="468" spans="2:24" ht="9.75">
      <c r="B468" s="41"/>
      <c r="C468" s="41"/>
      <c r="D468" s="41"/>
      <c r="E468" s="41"/>
      <c r="F468" s="41"/>
      <c r="G468" s="41"/>
      <c r="H468" s="41"/>
      <c r="I468" s="41"/>
      <c r="J468" s="48"/>
      <c r="K468" s="48"/>
      <c r="L468" s="48"/>
      <c r="M468" s="48"/>
      <c r="N468" s="48"/>
      <c r="O468" s="48"/>
      <c r="P468" s="48"/>
      <c r="Q468" s="48"/>
      <c r="S468" s="48"/>
      <c r="T468" s="48"/>
      <c r="U468" s="41"/>
      <c r="V468" s="41"/>
      <c r="W468" s="41"/>
      <c r="X468" s="41"/>
    </row>
    <row r="469" spans="2:24" ht="9.75">
      <c r="B469" s="41"/>
      <c r="C469" s="41"/>
      <c r="D469" s="41"/>
      <c r="E469" s="41"/>
      <c r="F469" s="41"/>
      <c r="G469" s="41"/>
      <c r="H469" s="41"/>
      <c r="I469" s="41"/>
      <c r="J469" s="48"/>
      <c r="K469" s="48"/>
      <c r="L469" s="48"/>
      <c r="M469" s="48"/>
      <c r="N469" s="48"/>
      <c r="O469" s="48"/>
      <c r="P469" s="48"/>
      <c r="Q469" s="48"/>
      <c r="S469" s="48"/>
      <c r="T469" s="48"/>
      <c r="U469" s="41"/>
      <c r="V469" s="41"/>
      <c r="W469" s="41"/>
      <c r="X469" s="41"/>
    </row>
    <row r="470" spans="2:24" ht="9.75">
      <c r="B470" s="41"/>
      <c r="C470" s="41"/>
      <c r="D470" s="41"/>
      <c r="E470" s="41"/>
      <c r="F470" s="41"/>
      <c r="G470" s="41"/>
      <c r="H470" s="41"/>
      <c r="I470" s="41"/>
      <c r="J470" s="48"/>
      <c r="K470" s="48"/>
      <c r="L470" s="48"/>
      <c r="M470" s="48"/>
      <c r="N470" s="48"/>
      <c r="O470" s="48"/>
      <c r="P470" s="48"/>
      <c r="Q470" s="48"/>
      <c r="S470" s="48"/>
      <c r="T470" s="48"/>
      <c r="U470" s="41"/>
      <c r="V470" s="41"/>
      <c r="W470" s="41"/>
      <c r="X470" s="41"/>
    </row>
    <row r="471" spans="2:24" ht="9.75">
      <c r="B471" s="41"/>
      <c r="C471" s="41"/>
      <c r="D471" s="41"/>
      <c r="E471" s="41"/>
      <c r="F471" s="41"/>
      <c r="G471" s="41"/>
      <c r="H471" s="41"/>
      <c r="I471" s="41"/>
      <c r="J471" s="48"/>
      <c r="K471" s="48"/>
      <c r="L471" s="48"/>
      <c r="M471" s="48"/>
      <c r="N471" s="48"/>
      <c r="O471" s="48"/>
      <c r="P471" s="48"/>
      <c r="Q471" s="48"/>
      <c r="S471" s="48"/>
      <c r="T471" s="48"/>
      <c r="U471" s="41"/>
      <c r="V471" s="41"/>
      <c r="W471" s="41"/>
      <c r="X471" s="41"/>
    </row>
    <row r="472" spans="2:24" ht="9.75">
      <c r="B472" s="41"/>
      <c r="C472" s="41"/>
      <c r="D472" s="41"/>
      <c r="E472" s="41"/>
      <c r="F472" s="41"/>
      <c r="G472" s="41"/>
      <c r="H472" s="41"/>
      <c r="I472" s="41"/>
      <c r="J472" s="48"/>
      <c r="K472" s="48"/>
      <c r="L472" s="48"/>
      <c r="M472" s="48"/>
      <c r="N472" s="48"/>
      <c r="O472" s="48"/>
      <c r="P472" s="48"/>
      <c r="Q472" s="48"/>
      <c r="S472" s="48"/>
      <c r="T472" s="48"/>
      <c r="U472" s="41"/>
      <c r="V472" s="41"/>
      <c r="W472" s="41"/>
      <c r="X472" s="41"/>
    </row>
    <row r="473" spans="2:24" ht="9.75">
      <c r="B473" s="41"/>
      <c r="C473" s="41"/>
      <c r="D473" s="41"/>
      <c r="E473" s="41"/>
      <c r="F473" s="41"/>
      <c r="G473" s="41"/>
      <c r="H473" s="41"/>
      <c r="I473" s="41"/>
      <c r="J473" s="48"/>
      <c r="K473" s="48"/>
      <c r="L473" s="48"/>
      <c r="M473" s="48"/>
      <c r="N473" s="48"/>
      <c r="O473" s="48"/>
      <c r="P473" s="48"/>
      <c r="Q473" s="48"/>
      <c r="S473" s="48"/>
      <c r="T473" s="48"/>
      <c r="U473" s="41"/>
      <c r="V473" s="41"/>
      <c r="W473" s="41"/>
      <c r="X473" s="41"/>
    </row>
    <row r="474" spans="2:24" ht="9.75">
      <c r="B474" s="41"/>
      <c r="C474" s="41"/>
      <c r="D474" s="41"/>
      <c r="E474" s="41"/>
      <c r="F474" s="41"/>
      <c r="G474" s="41"/>
      <c r="H474" s="41"/>
      <c r="I474" s="41"/>
      <c r="J474" s="48"/>
      <c r="K474" s="48"/>
      <c r="L474" s="48"/>
      <c r="M474" s="48"/>
      <c r="N474" s="48"/>
      <c r="O474" s="48"/>
      <c r="P474" s="48"/>
      <c r="Q474" s="48"/>
      <c r="S474" s="48"/>
      <c r="T474" s="48"/>
      <c r="U474" s="41"/>
      <c r="V474" s="41"/>
      <c r="W474" s="41"/>
      <c r="X474" s="41"/>
    </row>
    <row r="475" spans="2:24" ht="9.75">
      <c r="B475" s="41"/>
      <c r="C475" s="41"/>
      <c r="D475" s="41"/>
      <c r="E475" s="41"/>
      <c r="F475" s="41"/>
      <c r="G475" s="41"/>
      <c r="H475" s="41"/>
      <c r="I475" s="41"/>
      <c r="J475" s="48"/>
      <c r="K475" s="48"/>
      <c r="L475" s="48"/>
      <c r="M475" s="48"/>
      <c r="N475" s="48"/>
      <c r="O475" s="48"/>
      <c r="P475" s="48"/>
      <c r="Q475" s="48"/>
      <c r="S475" s="48"/>
      <c r="T475" s="48"/>
      <c r="U475" s="41"/>
      <c r="V475" s="41"/>
      <c r="W475" s="41"/>
      <c r="X475" s="41"/>
    </row>
    <row r="476" spans="3:24" ht="9.75">
      <c r="C476" s="41"/>
      <c r="D476" s="41"/>
      <c r="E476" s="41"/>
      <c r="F476" s="41"/>
      <c r="G476" s="41"/>
      <c r="H476" s="41"/>
      <c r="I476" s="41"/>
      <c r="J476" s="48"/>
      <c r="K476" s="48"/>
      <c r="L476" s="48"/>
      <c r="M476" s="48"/>
      <c r="N476" s="48"/>
      <c r="O476" s="48"/>
      <c r="P476" s="48"/>
      <c r="Q476" s="48"/>
      <c r="S476" s="48"/>
      <c r="T476" s="48"/>
      <c r="U476" s="41"/>
      <c r="V476" s="41"/>
      <c r="W476" s="41"/>
      <c r="X476" s="41"/>
    </row>
    <row r="477" spans="17:24" ht="9.75">
      <c r="Q477" s="48"/>
      <c r="S477" s="48"/>
      <c r="T477" s="48"/>
      <c r="U477" s="41"/>
      <c r="V477" s="41"/>
      <c r="W477" s="41"/>
      <c r="X477" s="41"/>
    </row>
    <row r="478" spans="17:24" ht="9.75">
      <c r="Q478" s="48"/>
      <c r="S478" s="48"/>
      <c r="T478" s="48"/>
      <c r="U478" s="41"/>
      <c r="V478" s="41"/>
      <c r="W478" s="41"/>
      <c r="X478" s="41"/>
    </row>
    <row r="479" spans="17:24" ht="9.75">
      <c r="Q479" s="48"/>
      <c r="S479" s="48"/>
      <c r="T479" s="48"/>
      <c r="U479" s="41"/>
      <c r="V479" s="41"/>
      <c r="W479" s="41"/>
      <c r="X479" s="41"/>
    </row>
    <row r="480" spans="17:24" ht="9.75">
      <c r="Q480" s="48"/>
      <c r="S480" s="48"/>
      <c r="T480" s="48"/>
      <c r="U480" s="41"/>
      <c r="V480" s="41"/>
      <c r="W480" s="41"/>
      <c r="X480" s="41"/>
    </row>
    <row r="481" spans="19:24" ht="9.75">
      <c r="S481" s="48"/>
      <c r="T481" s="48"/>
      <c r="U481" s="41"/>
      <c r="V481" s="41"/>
      <c r="W481" s="41"/>
      <c r="X481" s="41"/>
    </row>
    <row r="482" spans="19:24" ht="9.75">
      <c r="S482" s="48"/>
      <c r="T482" s="48"/>
      <c r="U482" s="41"/>
      <c r="V482" s="41"/>
      <c r="W482" s="41"/>
      <c r="X482" s="41"/>
    </row>
    <row r="483" spans="19:24" ht="9.75">
      <c r="S483" s="48"/>
      <c r="T483" s="48"/>
      <c r="U483" s="41"/>
      <c r="V483" s="41"/>
      <c r="W483" s="41"/>
      <c r="X483" s="41"/>
    </row>
    <row r="484" spans="19:24" ht="9.75">
      <c r="S484" s="48"/>
      <c r="T484" s="48"/>
      <c r="U484" s="41"/>
      <c r="V484" s="41"/>
      <c r="W484" s="41"/>
      <c r="X484" s="41"/>
    </row>
    <row r="485" spans="19:24" ht="9.75">
      <c r="S485" s="48"/>
      <c r="T485" s="48"/>
      <c r="U485" s="41"/>
      <c r="V485" s="41"/>
      <c r="W485" s="41"/>
      <c r="X485" s="41"/>
    </row>
    <row r="486" spans="19:24" ht="9.75">
      <c r="S486" s="48"/>
      <c r="T486" s="48"/>
      <c r="U486" s="41"/>
      <c r="V486" s="41"/>
      <c r="W486" s="41"/>
      <c r="X486" s="41"/>
    </row>
    <row r="487" spans="19:24" ht="9.75">
      <c r="S487" s="48"/>
      <c r="T487" s="48"/>
      <c r="U487" s="41"/>
      <c r="V487" s="41"/>
      <c r="W487" s="41"/>
      <c r="X487" s="41"/>
    </row>
    <row r="488" spans="19:24" ht="9.75">
      <c r="S488" s="48"/>
      <c r="T488" s="48"/>
      <c r="U488" s="41"/>
      <c r="V488" s="41"/>
      <c r="W488" s="41"/>
      <c r="X488" s="41"/>
    </row>
    <row r="489" spans="19:24" ht="9.75">
      <c r="S489" s="48"/>
      <c r="T489" s="48"/>
      <c r="U489" s="41"/>
      <c r="V489" s="41"/>
      <c r="W489" s="41"/>
      <c r="X489" s="41"/>
    </row>
    <row r="490" spans="19:24" ht="9.75">
      <c r="S490" s="48"/>
      <c r="T490" s="48"/>
      <c r="U490" s="41"/>
      <c r="V490" s="41"/>
      <c r="W490" s="41"/>
      <c r="X490" s="41"/>
    </row>
    <row r="491" spans="19:24" ht="9.75">
      <c r="S491" s="48"/>
      <c r="T491" s="48"/>
      <c r="U491" s="41"/>
      <c r="V491" s="41"/>
      <c r="W491" s="41"/>
      <c r="X491" s="41"/>
    </row>
    <row r="492" spans="19:24" ht="9.75">
      <c r="S492" s="48"/>
      <c r="T492" s="48"/>
      <c r="U492" s="41"/>
      <c r="V492" s="41"/>
      <c r="W492" s="41"/>
      <c r="X492" s="41"/>
    </row>
    <row r="493" spans="19:24" ht="9.75">
      <c r="S493" s="48"/>
      <c r="T493" s="48"/>
      <c r="U493" s="41"/>
      <c r="V493" s="41"/>
      <c r="W493" s="41"/>
      <c r="X493" s="41"/>
    </row>
    <row r="494" spans="19:24" ht="9.75">
      <c r="S494" s="48"/>
      <c r="T494" s="48"/>
      <c r="U494" s="41"/>
      <c r="V494" s="41"/>
      <c r="W494" s="41"/>
      <c r="X494" s="41"/>
    </row>
    <row r="495" spans="19:24" ht="9.75">
      <c r="S495" s="48"/>
      <c r="T495" s="48"/>
      <c r="U495" s="41"/>
      <c r="V495" s="41"/>
      <c r="W495" s="41"/>
      <c r="X495" s="41"/>
    </row>
    <row r="496" spans="19:24" ht="9.75">
      <c r="S496" s="48"/>
      <c r="T496" s="48"/>
      <c r="U496" s="41"/>
      <c r="V496" s="41"/>
      <c r="W496" s="41"/>
      <c r="X496" s="41"/>
    </row>
    <row r="497" spans="19:24" ht="9.75">
      <c r="S497" s="48"/>
      <c r="T497" s="48"/>
      <c r="U497" s="41"/>
      <c r="V497" s="41"/>
      <c r="W497" s="41"/>
      <c r="X497" s="41"/>
    </row>
    <row r="498" spans="19:24" ht="9.75">
      <c r="S498" s="48"/>
      <c r="T498" s="48"/>
      <c r="U498" s="41"/>
      <c r="V498" s="41"/>
      <c r="W498" s="41"/>
      <c r="X498" s="41"/>
    </row>
    <row r="499" spans="19:24" ht="9.75">
      <c r="S499" s="48"/>
      <c r="T499" s="48"/>
      <c r="U499" s="41"/>
      <c r="V499" s="41"/>
      <c r="W499" s="41"/>
      <c r="X499" s="41"/>
    </row>
    <row r="500" spans="19:23" ht="9.75">
      <c r="S500" s="48"/>
      <c r="T500" s="48"/>
      <c r="U500" s="41"/>
      <c r="V500" s="41"/>
      <c r="W500" s="41"/>
    </row>
    <row r="501" spans="19:23" ht="9.75">
      <c r="S501" s="48"/>
      <c r="T501" s="48"/>
      <c r="U501" s="41"/>
      <c r="V501" s="41"/>
      <c r="W501" s="41"/>
    </row>
    <row r="502" spans="19:23" ht="9.75">
      <c r="S502" s="48"/>
      <c r="T502" s="48"/>
      <c r="U502" s="41"/>
      <c r="V502" s="41"/>
      <c r="W502" s="41"/>
    </row>
    <row r="503" spans="19:23" ht="9.75">
      <c r="S503" s="48"/>
      <c r="T503" s="48"/>
      <c r="U503" s="41"/>
      <c r="V503" s="41"/>
      <c r="W503" s="41"/>
    </row>
    <row r="504" spans="19:23" ht="9.75">
      <c r="S504" s="48"/>
      <c r="T504" s="48"/>
      <c r="U504" s="41"/>
      <c r="V504" s="41"/>
      <c r="W504" s="41"/>
    </row>
    <row r="505" spans="19:23" ht="9.75">
      <c r="S505" s="48"/>
      <c r="T505" s="48"/>
      <c r="U505" s="41"/>
      <c r="V505" s="41"/>
      <c r="W505" s="41"/>
    </row>
    <row r="506" spans="19:23" ht="9.75">
      <c r="S506" s="48"/>
      <c r="T506" s="48"/>
      <c r="U506" s="41"/>
      <c r="V506" s="41"/>
      <c r="W506" s="41"/>
    </row>
    <row r="507" spans="19:23" ht="9.75">
      <c r="S507" s="48"/>
      <c r="T507" s="48"/>
      <c r="U507" s="41"/>
      <c r="V507" s="41"/>
      <c r="W507" s="41"/>
    </row>
    <row r="508" spans="19:23" ht="9.75">
      <c r="S508" s="48"/>
      <c r="T508" s="48"/>
      <c r="U508" s="41"/>
      <c r="V508" s="41"/>
      <c r="W508" s="41"/>
    </row>
    <row r="509" spans="19:23" ht="9.75">
      <c r="S509" s="48"/>
      <c r="T509" s="48"/>
      <c r="U509" s="41"/>
      <c r="V509" s="41"/>
      <c r="W509" s="41"/>
    </row>
    <row r="510" spans="19:23" ht="9.75">
      <c r="S510" s="48"/>
      <c r="T510" s="48"/>
      <c r="U510" s="41"/>
      <c r="V510" s="41"/>
      <c r="W510" s="41"/>
    </row>
    <row r="511" spans="19:23" ht="9.75">
      <c r="S511" s="48"/>
      <c r="T511" s="48"/>
      <c r="U511" s="41"/>
      <c r="V511" s="41"/>
      <c r="W511" s="41"/>
    </row>
    <row r="512" spans="19:22" ht="9.75">
      <c r="S512" s="48"/>
      <c r="T512" s="48"/>
      <c r="U512" s="41"/>
      <c r="V512" s="41"/>
    </row>
    <row r="513" spans="19:22" ht="9.75">
      <c r="S513" s="48"/>
      <c r="T513" s="48"/>
      <c r="U513" s="41"/>
      <c r="V513" s="41"/>
    </row>
    <row r="514" spans="19:20" ht="9.75">
      <c r="S514" s="48"/>
      <c r="T514" s="48"/>
    </row>
    <row r="515" spans="19:20" ht="9.75">
      <c r="S515" s="48"/>
      <c r="T515" s="48"/>
    </row>
    <row r="516" spans="19:20" ht="9.75">
      <c r="S516" s="48"/>
      <c r="T516" s="48"/>
    </row>
    <row r="517" spans="19:20" ht="9.75">
      <c r="S517" s="48"/>
      <c r="T517" s="48"/>
    </row>
    <row r="518" spans="19:20" ht="9.75">
      <c r="S518" s="48"/>
      <c r="T518" s="48"/>
    </row>
    <row r="519" spans="19:20" ht="9.75">
      <c r="S519" s="48"/>
      <c r="T519" s="48"/>
    </row>
    <row r="520" spans="19:20" ht="9.75">
      <c r="S520" s="48"/>
      <c r="T520" s="48"/>
    </row>
    <row r="521" spans="19:20" ht="9.75">
      <c r="S521" s="48"/>
      <c r="T521" s="48"/>
    </row>
    <row r="522" spans="19:20" ht="9.75">
      <c r="S522" s="48"/>
      <c r="T522" s="48"/>
    </row>
    <row r="523" spans="19:20" ht="9.75">
      <c r="S523" s="48"/>
      <c r="T523" s="48"/>
    </row>
  </sheetData>
  <sheetProtection password="FBFD" sheet="1" objects="1" scenarios="1"/>
  <mergeCells count="14">
    <mergeCell ref="G27:I27"/>
    <mergeCell ref="K12:N12"/>
    <mergeCell ref="C15:F15"/>
    <mergeCell ref="M11:O11"/>
    <mergeCell ref="C57:O57"/>
    <mergeCell ref="S4:AA4"/>
    <mergeCell ref="S17:AA17"/>
    <mergeCell ref="AJ45:AL45"/>
    <mergeCell ref="AG45:AI45"/>
    <mergeCell ref="C3:P3"/>
    <mergeCell ref="C5:P5"/>
    <mergeCell ref="C12:F12"/>
    <mergeCell ref="I18:L18"/>
    <mergeCell ref="G26:H26"/>
  </mergeCells>
  <conditionalFormatting sqref="I26 D23">
    <cfRule type="expression" priority="74" dxfId="25" stopIfTrue="1">
      <formula>$I$25&lt;$I$26</formula>
    </cfRule>
  </conditionalFormatting>
  <conditionalFormatting sqref="D24">
    <cfRule type="expression" priority="182" dxfId="2" stopIfTrue="1">
      <formula>OR($U$38=2,$U$38=7)</formula>
    </cfRule>
  </conditionalFormatting>
  <conditionalFormatting sqref="E24">
    <cfRule type="expression" priority="186" dxfId="23" stopIfTrue="1">
      <formula>$Y$40=2</formula>
    </cfRule>
  </conditionalFormatting>
  <conditionalFormatting sqref="L46">
    <cfRule type="expression" priority="55" dxfId="2" stopIfTrue="1">
      <formula>$U$38=3</formula>
    </cfRule>
  </conditionalFormatting>
  <conditionalFormatting sqref="O48">
    <cfRule type="expression" priority="53" dxfId="2" stopIfTrue="1">
      <formula>OR($U$38=13,$U$38=14,$U$38=15)</formula>
    </cfRule>
  </conditionalFormatting>
  <conditionalFormatting sqref="C23">
    <cfRule type="containsText" priority="43" dxfId="10" operator="containsText" stopIfTrue="1" text="mínimo">
      <formula>NOT(ISERROR(SEARCH("mínimo",C23)))</formula>
    </cfRule>
  </conditionalFormatting>
  <conditionalFormatting sqref="G26:H26">
    <cfRule type="containsText" priority="37" dxfId="10" operator="containsText" stopIfTrue="1" text="fuera">
      <formula>NOT(ISERROR(SEARCH("fuera",G26)))</formula>
    </cfRule>
  </conditionalFormatting>
  <conditionalFormatting sqref="N27">
    <cfRule type="expression" priority="31" dxfId="26" stopIfTrue="1">
      <formula>$M$27=0</formula>
    </cfRule>
  </conditionalFormatting>
  <conditionalFormatting sqref="N28">
    <cfRule type="expression" priority="24" dxfId="26" stopIfTrue="1">
      <formula>$M28=0</formula>
    </cfRule>
  </conditionalFormatting>
  <conditionalFormatting sqref="D21:D22">
    <cfRule type="cellIs" priority="20" dxfId="13" operator="lessThanOrEqual" stopIfTrue="1">
      <formula>0</formula>
    </cfRule>
    <cfRule type="expression" priority="21" dxfId="12" stopIfTrue="1">
      <formula>"$Y$42=3"</formula>
    </cfRule>
  </conditionalFormatting>
  <conditionalFormatting sqref="I25">
    <cfRule type="cellIs" priority="19" dxfId="13" operator="lessThanOrEqual" stopIfTrue="1">
      <formula>0</formula>
    </cfRule>
  </conditionalFormatting>
  <conditionalFormatting sqref="D33">
    <cfRule type="cellIs" priority="13" dxfId="13" operator="lessThanOrEqual" stopIfTrue="1">
      <formula>0</formula>
    </cfRule>
    <cfRule type="expression" priority="14" dxfId="12">
      <formula>"$Y$42=3"</formula>
    </cfRule>
  </conditionalFormatting>
  <conditionalFormatting sqref="C32">
    <cfRule type="expression" priority="12" dxfId="11" stopIfTrue="1">
      <formula>$U$29=1</formula>
    </cfRule>
  </conditionalFormatting>
  <conditionalFormatting sqref="G27">
    <cfRule type="containsText" priority="10" dxfId="10" operator="containsText" stopIfTrue="1" text="fuera">
      <formula>NOT(ISERROR(SEARCH("fuera",G27)))</formula>
    </cfRule>
  </conditionalFormatting>
  <conditionalFormatting sqref="C38:D38 C44:D44">
    <cfRule type="expression" priority="3" dxfId="27" stopIfTrue="1">
      <formula>$U$38=3</formula>
    </cfRule>
  </conditionalFormatting>
  <conditionalFormatting sqref="E35:E38 E41:E44">
    <cfRule type="expression" priority="4" dxfId="28" stopIfTrue="1">
      <formula>$U$38=3</formula>
    </cfRule>
  </conditionalFormatting>
  <conditionalFormatting sqref="E38 E44">
    <cfRule type="expression" priority="5" dxfId="29" stopIfTrue="1">
      <formula>$U$38=3</formula>
    </cfRule>
  </conditionalFormatting>
  <conditionalFormatting sqref="C38 C44">
    <cfRule type="expression" priority="6" dxfId="30" stopIfTrue="1">
      <formula>$U$38=3</formula>
    </cfRule>
  </conditionalFormatting>
  <conditionalFormatting sqref="C34:D34 C40:D40">
    <cfRule type="expression" priority="7" dxfId="31" stopIfTrue="1">
      <formula>$U$38=3</formula>
    </cfRule>
  </conditionalFormatting>
  <conditionalFormatting sqref="E34 E40">
    <cfRule type="expression" priority="8" dxfId="32" stopIfTrue="1">
      <formula>$U$38=3</formula>
    </cfRule>
  </conditionalFormatting>
  <conditionalFormatting sqref="D35 D41 D37">
    <cfRule type="expression" priority="9" dxfId="2" stopIfTrue="1">
      <formula>$U$38=3</formula>
    </cfRule>
  </conditionalFormatting>
  <conditionalFormatting sqref="D43">
    <cfRule type="expression" priority="2" dxfId="2" stopIfTrue="1">
      <formula>$U$38=3</formula>
    </cfRule>
  </conditionalFormatting>
  <conditionalFormatting sqref="B34:B38 B40:B44">
    <cfRule type="expression" priority="1" dxfId="28" stopIfTrue="1">
      <formula>$U$38=3</formula>
    </cfRule>
  </conditionalFormatting>
  <dataValidations count="3">
    <dataValidation allowBlank="1" showInputMessage="1" showErrorMessage="1" prompt="Aquí puede capturar el monto del crédito que desee." sqref="I25"/>
    <dataValidation allowBlank="1" showInputMessage="1" showErrorMessage="1" prompt="VALOR CONSTRUCCION + INSTALACIONES ESPECIALES" sqref="D22"/>
    <dataValidation type="decimal" operator="lessThanOrEqual" allowBlank="1" showInputMessage="1" showErrorMessage="1" prompt="Porcentaje pactado por promoción&#10;&quot;Diferente a la política&quot;" errorTitle="Revisa la comisión" error="Debes ingresar la comisión como:&#10;.00XX" sqref="D33">
      <formula1>0.5</formula1>
    </dataValidation>
  </dataValidations>
  <printOptions horizontalCentered="1" verticalCentered="1"/>
  <pageMargins left="0" right="0" top="0" bottom="0" header="0" footer="0"/>
  <pageSetup horizontalDpi="600" verticalDpi="600" orientation="landscape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N258"/>
  <sheetViews>
    <sheetView showGridLines="0" zoomScale="96" zoomScaleNormal="96" zoomScaleSheetLayoutView="85" zoomScalePageLayoutView="0" workbookViewId="0" topLeftCell="A1">
      <selection activeCell="A1" sqref="A1:AB1"/>
    </sheetView>
  </sheetViews>
  <sheetFormatPr defaultColWidth="11.421875" defaultRowHeight="12.75"/>
  <cols>
    <col min="1" max="1" width="8.8515625" style="38" customWidth="1"/>
    <col min="2" max="2" width="11.421875" style="38" customWidth="1"/>
    <col min="3" max="3" width="1.1484375" style="38" customWidth="1"/>
    <col min="4" max="4" width="10.57421875" style="38" customWidth="1"/>
    <col min="5" max="5" width="1.1484375" style="38" customWidth="1"/>
    <col min="6" max="6" width="10.421875" style="38" customWidth="1"/>
    <col min="7" max="7" width="1.1484375" style="38" customWidth="1"/>
    <col min="8" max="8" width="13.8515625" style="38" customWidth="1"/>
    <col min="9" max="9" width="1.1484375" style="38" customWidth="1"/>
    <col min="10" max="10" width="10.421875" style="38" customWidth="1"/>
    <col min="11" max="11" width="1.1484375" style="38" customWidth="1"/>
    <col min="12" max="12" width="12.8515625" style="38" customWidth="1"/>
    <col min="13" max="13" width="1.57421875" style="38" customWidth="1"/>
    <col min="14" max="14" width="11.8515625" style="38" customWidth="1"/>
    <col min="15" max="15" width="1.57421875" style="38" customWidth="1"/>
    <col min="16" max="16" width="8.8515625" style="38" customWidth="1"/>
    <col min="17" max="17" width="1.1484375" style="38" customWidth="1"/>
    <col min="18" max="18" width="11.8515625" style="38" customWidth="1"/>
    <col min="19" max="19" width="1.1484375" style="38" customWidth="1"/>
    <col min="20" max="20" width="8.57421875" style="38" customWidth="1"/>
    <col min="21" max="21" width="0.9921875" style="38" customWidth="1"/>
    <col min="22" max="22" width="8.57421875" style="38" customWidth="1"/>
    <col min="23" max="24" width="0.9921875" style="38" customWidth="1"/>
    <col min="25" max="25" width="15.140625" style="38" customWidth="1"/>
    <col min="26" max="26" width="1.57421875" style="38" customWidth="1"/>
    <col min="27" max="27" width="6.57421875" style="38" customWidth="1"/>
    <col min="28" max="28" width="3.421875" style="306" customWidth="1"/>
    <col min="29" max="29" width="11.8515625" style="445" hidden="1" customWidth="1"/>
    <col min="30" max="30" width="10.140625" style="445" hidden="1" customWidth="1"/>
    <col min="31" max="31" width="13.421875" style="445" hidden="1" customWidth="1"/>
    <col min="32" max="32" width="8.57421875" style="445" hidden="1" customWidth="1"/>
    <col min="33" max="33" width="9.140625" style="445" hidden="1" customWidth="1"/>
    <col min="34" max="35" width="13.57421875" style="445" hidden="1" customWidth="1"/>
    <col min="36" max="39" width="11.421875" style="446" hidden="1" customWidth="1"/>
    <col min="40" max="44" width="11.421875" style="445" hidden="1" customWidth="1"/>
    <col min="45" max="45" width="2.8515625" style="448" hidden="1" customWidth="1"/>
    <col min="46" max="52" width="11.421875" style="38" hidden="1" customWidth="1"/>
    <col min="53" max="53" width="9.8515625" style="38" hidden="1" customWidth="1"/>
    <col min="54" max="54" width="14.8515625" style="38" hidden="1" customWidth="1"/>
    <col min="55" max="56" width="6.421875" style="0" hidden="1" customWidth="1"/>
    <col min="57" max="57" width="5.00390625" style="0" hidden="1" customWidth="1"/>
    <col min="58" max="58" width="6.140625" style="0" hidden="1" customWidth="1"/>
    <col min="59" max="59" width="8.57421875" style="0" hidden="1" customWidth="1"/>
    <col min="60" max="60" width="11.57421875" style="38" hidden="1" customWidth="1"/>
    <col min="61" max="61" width="9.00390625" style="38" hidden="1" customWidth="1"/>
    <col min="62" max="62" width="10.421875" style="38" hidden="1" customWidth="1"/>
    <col min="63" max="63" width="5.421875" style="38" hidden="1" customWidth="1"/>
    <col min="64" max="64" width="7.8515625" style="38" hidden="1" customWidth="1"/>
    <col min="65" max="65" width="8.140625" style="38" hidden="1" customWidth="1"/>
    <col min="66" max="66" width="2.57421875" style="38" hidden="1" customWidth="1"/>
    <col min="67" max="67" width="12.57421875" style="38" customWidth="1"/>
    <col min="68" max="100" width="11.421875" style="38" customWidth="1"/>
    <col min="101" max="16384" width="11.421875" style="38" customWidth="1"/>
  </cols>
  <sheetData>
    <row r="1" spans="1:66" ht="15.75">
      <c r="A1" s="714" t="s">
        <v>270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277"/>
      <c r="AD1" s="277"/>
      <c r="AE1" s="277"/>
      <c r="AF1" s="277"/>
      <c r="AG1" s="277"/>
      <c r="AH1" s="277"/>
      <c r="AI1" s="277"/>
      <c r="AJ1" s="278"/>
      <c r="AK1" s="278"/>
      <c r="AL1" s="278"/>
      <c r="AM1" s="278"/>
      <c r="AN1" s="279"/>
      <c r="AO1" s="279"/>
      <c r="AP1" s="279"/>
      <c r="AQ1" s="279"/>
      <c r="AR1" s="280"/>
      <c r="AS1" s="281"/>
      <c r="BN1" s="450" t="s">
        <v>453</v>
      </c>
    </row>
    <row r="2" spans="1:45" ht="15.75">
      <c r="A2" s="714" t="s">
        <v>29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714"/>
      <c r="X2" s="714"/>
      <c r="Y2" s="714"/>
      <c r="Z2" s="714"/>
      <c r="AA2" s="714"/>
      <c r="AB2" s="714"/>
      <c r="AC2" s="277"/>
      <c r="AD2" s="277"/>
      <c r="AE2" s="277"/>
      <c r="AF2" s="277"/>
      <c r="AG2" s="277"/>
      <c r="AH2" s="277"/>
      <c r="AI2" s="277"/>
      <c r="AJ2" s="278"/>
      <c r="AK2" s="278"/>
      <c r="AL2" s="278"/>
      <c r="AM2" s="278"/>
      <c r="AN2" s="279"/>
      <c r="AO2" s="279"/>
      <c r="AP2" s="279"/>
      <c r="AQ2" s="279"/>
      <c r="AR2" s="279"/>
      <c r="AS2" s="281"/>
    </row>
    <row r="3" spans="1:45" ht="15.75">
      <c r="A3" s="723" t="s">
        <v>30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282"/>
      <c r="AD3" s="282"/>
      <c r="AE3" s="283">
        <v>1</v>
      </c>
      <c r="AF3" s="282"/>
      <c r="AG3" s="282"/>
      <c r="AH3" s="278" t="s">
        <v>15</v>
      </c>
      <c r="AI3" s="278"/>
      <c r="AJ3" s="278"/>
      <c r="AK3" s="284">
        <f>_xlfn.IFERROR(Simulador!O31*1,0)</f>
        <v>0</v>
      </c>
      <c r="AL3" s="284"/>
      <c r="AM3" s="513" t="s">
        <v>46</v>
      </c>
      <c r="AN3" s="514" t="s">
        <v>47</v>
      </c>
      <c r="AO3" s="279"/>
      <c r="AP3" s="279"/>
      <c r="AQ3" s="279"/>
      <c r="AR3" s="279"/>
      <c r="AS3" s="281"/>
    </row>
    <row r="4" spans="1:45" ht="15.75">
      <c r="A4" s="723" t="str">
        <f>IF(AND(Simulador!T67=1,Simulador!T61=2),"VALORA 10 AÑOS",IF(AND(Simulador!T67=1,Simulador!T61=3),"VALORA 15 AÑOS",IF(AND(Simulador!T67=1,Simulador!T61=4),"VALORA 20 AÑOS",IF(AND(Simulador!T67=2,Simulador!T61=1),"PAGOS OPORTUNOS 7 AÑOS",IF(AND(Simulador!T67=2,Simulador!T61=2),"PAGOS OPORTUNOS 10 AÑOS",IF(AND(Simulador!T67=2,Simulador!T61=3),"PAGOS OPORTUNOS 15 AÑOS","PAGOS OPORTUNOS 20 AÑOS"))))))</f>
        <v>VALORA 20 AÑOS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285"/>
      <c r="AD4" s="285"/>
      <c r="AE4" s="285" t="s">
        <v>57</v>
      </c>
      <c r="AF4" s="285"/>
      <c r="AG4" s="285"/>
      <c r="AH4" s="278" t="s">
        <v>0</v>
      </c>
      <c r="AI4" s="278"/>
      <c r="AJ4" s="278"/>
      <c r="AK4" s="284">
        <f>_xlfn.IFERROR(Simulador!O30*1,0)</f>
        <v>0</v>
      </c>
      <c r="AL4" s="284"/>
      <c r="AM4" s="286">
        <f>IF(OR(Simulador!$U$38=6,Simulador!$U$38=7),Simulador!AH56,Simulador!U47)</f>
        <v>0.09</v>
      </c>
      <c r="AN4" s="287">
        <f>IF(OR(Simulador!$U$38=6,Simulador!$U$38=7),Simulador!AH57,Simulador!U52)</f>
        <v>0.11</v>
      </c>
      <c r="AO4" s="279"/>
      <c r="AP4" s="279"/>
      <c r="AQ4" s="279"/>
      <c r="AR4" s="279"/>
      <c r="AS4" s="281"/>
    </row>
    <row r="5" spans="1:45" ht="15" customHeight="1">
      <c r="A5" s="523" t="s">
        <v>17</v>
      </c>
      <c r="B5" s="524"/>
      <c r="C5" s="39"/>
      <c r="D5" s="39"/>
      <c r="E5" s="39"/>
      <c r="F5" s="39"/>
      <c r="G5" s="39"/>
      <c r="H5" s="39"/>
      <c r="I5" s="39"/>
      <c r="J5" s="39"/>
      <c r="K5" s="39"/>
      <c r="L5" s="724">
        <f>Simulador!C8</f>
        <v>44235</v>
      </c>
      <c r="M5" s="724"/>
      <c r="N5" s="724"/>
      <c r="O5" s="39"/>
      <c r="P5" s="39"/>
      <c r="Q5" s="39"/>
      <c r="R5" s="39"/>
      <c r="S5" s="39"/>
      <c r="T5" s="39"/>
      <c r="U5" s="39"/>
      <c r="V5" s="39"/>
      <c r="W5" s="39"/>
      <c r="X5" s="39"/>
      <c r="AB5" s="305"/>
      <c r="AC5" s="285"/>
      <c r="AD5" s="285"/>
      <c r="AE5" s="285" t="s">
        <v>58</v>
      </c>
      <c r="AF5" s="285"/>
      <c r="AG5" s="285"/>
      <c r="AH5" s="278" t="s">
        <v>39</v>
      </c>
      <c r="AI5" s="278"/>
      <c r="AJ5" s="278"/>
      <c r="AK5" s="284">
        <f>+AK4+AK3</f>
        <v>0</v>
      </c>
      <c r="AL5" s="284"/>
      <c r="AM5" s="278"/>
      <c r="AN5" s="279"/>
      <c r="AO5" s="279"/>
      <c r="AP5" s="279"/>
      <c r="AQ5" s="279"/>
      <c r="AR5" s="279"/>
      <c r="AS5" s="281"/>
    </row>
    <row r="6" spans="1:45" ht="12.75" customHeight="1">
      <c r="A6" s="79" t="s">
        <v>31</v>
      </c>
      <c r="B6" s="52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B6" s="305"/>
      <c r="AC6" s="285"/>
      <c r="AD6" s="285"/>
      <c r="AE6" s="285"/>
      <c r="AF6" s="285"/>
      <c r="AG6" s="285"/>
      <c r="AH6" s="285"/>
      <c r="AI6" s="285"/>
      <c r="AJ6" s="278"/>
      <c r="AK6" s="278"/>
      <c r="AL6" s="278"/>
      <c r="AM6" s="278"/>
      <c r="AN6" s="279"/>
      <c r="AO6" s="279"/>
      <c r="AP6" s="279"/>
      <c r="AQ6" s="279"/>
      <c r="AR6" s="279"/>
      <c r="AS6" s="281"/>
    </row>
    <row r="7" spans="1:45" ht="12.75" customHeight="1">
      <c r="A7" s="79" t="s">
        <v>59</v>
      </c>
      <c r="B7" s="524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B7" s="305"/>
      <c r="AC7" s="285"/>
      <c r="AD7" s="285"/>
      <c r="AE7" s="285"/>
      <c r="AF7" s="285"/>
      <c r="AG7" s="285"/>
      <c r="AH7" s="285"/>
      <c r="AI7" s="285"/>
      <c r="AJ7" s="278"/>
      <c r="AK7" s="278"/>
      <c r="AL7" s="278"/>
      <c r="AM7" s="278"/>
      <c r="AN7" s="279"/>
      <c r="AO7" s="279"/>
      <c r="AP7" s="279"/>
      <c r="AQ7" s="279"/>
      <c r="AR7" s="279"/>
      <c r="AS7" s="281"/>
    </row>
    <row r="8" spans="1:54" ht="12.75" customHeight="1">
      <c r="A8" s="67" t="s">
        <v>48</v>
      </c>
      <c r="B8" s="52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B8" s="305"/>
      <c r="AC8" s="285"/>
      <c r="AD8" s="285"/>
      <c r="AE8" s="285"/>
      <c r="AF8" s="285"/>
      <c r="AG8" s="285"/>
      <c r="AH8" s="285"/>
      <c r="AI8" s="285"/>
      <c r="AJ8" s="278"/>
      <c r="AK8" s="278"/>
      <c r="AL8" s="278"/>
      <c r="AM8" s="278"/>
      <c r="AN8" s="279"/>
      <c r="AO8" s="279"/>
      <c r="AP8" s="279"/>
      <c r="AQ8" s="279"/>
      <c r="AR8" s="279"/>
      <c r="AS8" s="281"/>
      <c r="BB8" s="419">
        <f>BB12*12</f>
        <v>0</v>
      </c>
    </row>
    <row r="9" spans="1:54" ht="12.75">
      <c r="A9" s="525" t="s">
        <v>27</v>
      </c>
      <c r="B9" s="524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B9" s="305"/>
      <c r="AC9" s="285"/>
      <c r="AD9" s="285"/>
      <c r="AE9" s="285"/>
      <c r="AF9" s="285"/>
      <c r="AG9" s="285"/>
      <c r="AH9" s="285" t="s">
        <v>41</v>
      </c>
      <c r="AI9" s="285"/>
      <c r="AJ9" s="278"/>
      <c r="AK9" s="278"/>
      <c r="AL9" s="278"/>
      <c r="AM9" s="278"/>
      <c r="AN9" s="279"/>
      <c r="AO9" s="279"/>
      <c r="AP9" s="279"/>
      <c r="AQ9" s="279"/>
      <c r="AR9" s="279"/>
      <c r="AS9" s="281"/>
      <c r="BB9" s="420">
        <f>((1+BB12)^12)-1</f>
        <v>0</v>
      </c>
    </row>
    <row r="10" spans="1:60" ht="12.75">
      <c r="A10" s="525" t="s">
        <v>28</v>
      </c>
      <c r="B10" s="45"/>
      <c r="R10" s="1" t="s">
        <v>52</v>
      </c>
      <c r="S10" s="45"/>
      <c r="T10" s="45"/>
      <c r="U10" s="45"/>
      <c r="V10" s="45"/>
      <c r="W10" s="45"/>
      <c r="X10" s="45"/>
      <c r="Y10" s="123">
        <f>AF14</f>
        <v>0</v>
      </c>
      <c r="Z10" s="1" t="s">
        <v>53</v>
      </c>
      <c r="AA10" s="45"/>
      <c r="AC10" s="279"/>
      <c r="AD10" s="279"/>
      <c r="AE10" s="279"/>
      <c r="AF10" s="279"/>
      <c r="AG10" s="279"/>
      <c r="AH10" s="288">
        <f>_xlfn.IFERROR(IRR(AH14:AH254,0),0)</f>
        <v>0</v>
      </c>
      <c r="AI10" s="288"/>
      <c r="AJ10" s="289">
        <f>AH10*12</f>
        <v>0</v>
      </c>
      <c r="AK10" s="425">
        <f>((1+AH10)^12)-1</f>
        <v>0</v>
      </c>
      <c r="AL10" s="278"/>
      <c r="AM10" s="722"/>
      <c r="AN10" s="722"/>
      <c r="AO10" s="722"/>
      <c r="AP10" s="290"/>
      <c r="AQ10" s="279"/>
      <c r="AR10" s="279"/>
      <c r="AS10" s="281"/>
      <c r="BB10" s="421" t="s">
        <v>38</v>
      </c>
      <c r="BH10" s="69"/>
    </row>
    <row r="11" spans="1:62" ht="12.75">
      <c r="A11" s="662" t="s">
        <v>40</v>
      </c>
      <c r="B11" s="661">
        <f>BB9</f>
        <v>0</v>
      </c>
      <c r="C11" s="62" t="s">
        <v>49</v>
      </c>
      <c r="R11" s="1" t="s">
        <v>55</v>
      </c>
      <c r="S11" s="45"/>
      <c r="T11" s="45"/>
      <c r="U11" s="45"/>
      <c r="V11" s="45"/>
      <c r="W11" s="45"/>
      <c r="X11" s="45"/>
      <c r="Y11" s="123">
        <f>AG14</f>
        <v>0</v>
      </c>
      <c r="Z11" s="1" t="s">
        <v>54</v>
      </c>
      <c r="AA11" s="45"/>
      <c r="AC11" s="279"/>
      <c r="AD11" s="279"/>
      <c r="AE11" s="279"/>
      <c r="AF11" s="279"/>
      <c r="AG11" s="279"/>
      <c r="AH11" s="279" t="s">
        <v>38</v>
      </c>
      <c r="AI11" s="279"/>
      <c r="AJ11" s="278"/>
      <c r="AK11" s="278"/>
      <c r="AL11" s="278"/>
      <c r="AM11" s="291"/>
      <c r="AN11" s="291"/>
      <c r="AO11" s="291"/>
      <c r="AP11" s="290"/>
      <c r="AQ11" s="279"/>
      <c r="AR11" s="279"/>
      <c r="AS11" s="281"/>
      <c r="BB11" s="422" t="s">
        <v>41</v>
      </c>
      <c r="BH11" s="518"/>
      <c r="BJ11" s="436"/>
    </row>
    <row r="12" spans="1:54" ht="12.75">
      <c r="A12" s="525" t="s">
        <v>60</v>
      </c>
      <c r="B12" s="526"/>
      <c r="C12" s="62"/>
      <c r="N12" s="344"/>
      <c r="T12" s="69"/>
      <c r="V12" s="69"/>
      <c r="Y12" s="61"/>
      <c r="Z12" s="69"/>
      <c r="AC12" s="409"/>
      <c r="AD12" s="279"/>
      <c r="AE12" s="279"/>
      <c r="AF12" s="279"/>
      <c r="AG12" s="279"/>
      <c r="AH12" s="279"/>
      <c r="AI12" s="279"/>
      <c r="AJ12" s="278"/>
      <c r="AK12" s="278"/>
      <c r="AL12" s="278"/>
      <c r="AM12" s="291"/>
      <c r="AN12" s="291"/>
      <c r="AO12" s="291"/>
      <c r="AP12" s="290"/>
      <c r="AQ12" s="279"/>
      <c r="AR12" s="279"/>
      <c r="AS12" s="281"/>
      <c r="BB12" s="423">
        <f>_xlfn.IFERROR(IRR(BB13:BB254,0),0)</f>
        <v>0</v>
      </c>
    </row>
    <row r="13" spans="1:60" ht="13.5" thickBot="1">
      <c r="A13" s="10"/>
      <c r="B13" s="68"/>
      <c r="C13" s="62"/>
      <c r="N13" s="343"/>
      <c r="T13" s="366"/>
      <c r="U13" s="366"/>
      <c r="V13" s="367"/>
      <c r="AB13" s="306" t="s">
        <v>162</v>
      </c>
      <c r="AC13" s="279"/>
      <c r="AD13" s="279"/>
      <c r="AE13" s="279"/>
      <c r="AF13" s="279"/>
      <c r="AG13" s="279"/>
      <c r="AH13" s="279"/>
      <c r="AI13" s="279"/>
      <c r="AJ13" s="278"/>
      <c r="AK13" s="278"/>
      <c r="AL13" s="278"/>
      <c r="AM13" s="291"/>
      <c r="AN13" s="291"/>
      <c r="AO13" s="291"/>
      <c r="AP13" s="290"/>
      <c r="AQ13" s="279"/>
      <c r="AR13" s="279"/>
      <c r="AS13" s="281" t="s">
        <v>162</v>
      </c>
      <c r="BB13" s="424">
        <f>AK5-AT15</f>
        <v>0</v>
      </c>
      <c r="BH13" s="518"/>
    </row>
    <row r="14" spans="1:65" s="40" customFormat="1" ht="33.75">
      <c r="A14" s="527" t="s">
        <v>20</v>
      </c>
      <c r="B14" s="527" t="s">
        <v>6</v>
      </c>
      <c r="C14" s="528"/>
      <c r="D14" s="527" t="s">
        <v>7</v>
      </c>
      <c r="E14" s="528"/>
      <c r="F14" s="527" t="s">
        <v>8</v>
      </c>
      <c r="G14" s="529"/>
      <c r="H14" s="527" t="s">
        <v>9</v>
      </c>
      <c r="I14" s="529"/>
      <c r="J14" s="527" t="s">
        <v>19</v>
      </c>
      <c r="K14" s="528"/>
      <c r="L14" s="527" t="s">
        <v>18</v>
      </c>
      <c r="M14" s="530"/>
      <c r="N14" s="527" t="s">
        <v>132</v>
      </c>
      <c r="O14" s="530"/>
      <c r="P14" s="663" t="s">
        <v>16</v>
      </c>
      <c r="Q14" s="528"/>
      <c r="R14" s="527" t="s">
        <v>10</v>
      </c>
      <c r="S14" s="528"/>
      <c r="T14" s="527" t="s">
        <v>23</v>
      </c>
      <c r="U14" s="530"/>
      <c r="V14" s="527" t="s">
        <v>24</v>
      </c>
      <c r="W14" s="530"/>
      <c r="X14" s="530"/>
      <c r="Y14" s="527" t="s">
        <v>11</v>
      </c>
      <c r="Z14" s="528"/>
      <c r="AA14" s="527" t="s">
        <v>12</v>
      </c>
      <c r="AB14" s="37"/>
      <c r="AC14" s="292" t="s">
        <v>50</v>
      </c>
      <c r="AD14" s="292" t="s">
        <v>51</v>
      </c>
      <c r="AE14" s="292">
        <f>SUM(AE15:AE254)</f>
        <v>1</v>
      </c>
      <c r="AF14" s="292">
        <f>SUM(AF15:AF254)</f>
        <v>0</v>
      </c>
      <c r="AG14" s="292">
        <f>SUM(AG15:AG254)</f>
        <v>0</v>
      </c>
      <c r="AH14" s="293">
        <f>AK5-B15</f>
        <v>0</v>
      </c>
      <c r="AI14" s="293" t="s">
        <v>131</v>
      </c>
      <c r="AJ14" s="291" t="s">
        <v>130</v>
      </c>
      <c r="AK14" s="291" t="s">
        <v>7</v>
      </c>
      <c r="AL14" s="291" t="s">
        <v>45</v>
      </c>
      <c r="AM14" s="291" t="s">
        <v>32</v>
      </c>
      <c r="AN14" s="291" t="s">
        <v>33</v>
      </c>
      <c r="AO14" s="291" t="s">
        <v>34</v>
      </c>
      <c r="AP14" s="291" t="s">
        <v>44</v>
      </c>
      <c r="AQ14" s="426" t="s">
        <v>321</v>
      </c>
      <c r="AR14" s="291" t="s">
        <v>320</v>
      </c>
      <c r="AS14" s="294"/>
      <c r="AT14" s="416" t="s">
        <v>6</v>
      </c>
      <c r="AU14" s="416" t="s">
        <v>7</v>
      </c>
      <c r="AV14" s="416" t="s">
        <v>8</v>
      </c>
      <c r="AW14" s="416" t="s">
        <v>9</v>
      </c>
      <c r="AX14" s="415" t="s">
        <v>10</v>
      </c>
      <c r="AY14" s="415" t="s">
        <v>13</v>
      </c>
      <c r="AZ14" s="415" t="s">
        <v>188</v>
      </c>
      <c r="BA14" s="417" t="s">
        <v>56</v>
      </c>
      <c r="BB14" s="415" t="s">
        <v>11</v>
      </c>
      <c r="BC14" s="427" t="s">
        <v>5</v>
      </c>
      <c r="BD14" s="428" t="s">
        <v>271</v>
      </c>
      <c r="BE14" s="428" t="s">
        <v>272</v>
      </c>
      <c r="BF14" s="442" t="s">
        <v>20</v>
      </c>
      <c r="BG14" s="429" t="s">
        <v>273</v>
      </c>
      <c r="BH14" s="429" t="s">
        <v>274</v>
      </c>
      <c r="BI14" s="429" t="s">
        <v>275</v>
      </c>
      <c r="BJ14" s="429" t="s">
        <v>276</v>
      </c>
      <c r="BK14" s="429" t="s">
        <v>279</v>
      </c>
      <c r="BL14" s="429"/>
      <c r="BM14" s="429"/>
    </row>
    <row r="15" spans="1:65" ht="12.75">
      <c r="A15" s="531">
        <v>1</v>
      </c>
      <c r="B15" s="106">
        <f>_xlfn.IFERROR(Simulador!I25,0)</f>
        <v>0</v>
      </c>
      <c r="C15" s="106"/>
      <c r="D15" s="107">
        <f>_xlfn.IFERROR(Simulador!I25/1000*Simulador!T83,0)</f>
        <v>0</v>
      </c>
      <c r="E15" s="107"/>
      <c r="F15" s="107">
        <f aca="true" t="shared" si="0" ref="F15:F78">_xlfn.IFERROR(IF(B15=0,0,P15/360*BE15*B15),0)</f>
        <v>0</v>
      </c>
      <c r="G15" s="107"/>
      <c r="H15" s="107">
        <f>D15-F15</f>
        <v>0</v>
      </c>
      <c r="I15" s="108"/>
      <c r="J15" s="109"/>
      <c r="K15" s="108"/>
      <c r="L15" s="107">
        <f>IF(Simulador!$T$40=1,0,J15*Simulador!$W$38*1.16)</f>
        <v>0</v>
      </c>
      <c r="M15" s="107"/>
      <c r="N15" s="107"/>
      <c r="O15" s="13"/>
      <c r="P15" s="664">
        <f aca="true" t="shared" si="1" ref="P15:P78">IF(B15=0,"",AI15)</f>
      </c>
      <c r="Q15" s="3"/>
      <c r="R15" s="107">
        <f>_xlfn.IFERROR(B15-H15-J15+L15-N15,0)</f>
        <v>0</v>
      </c>
      <c r="S15" s="107"/>
      <c r="T15" s="107">
        <f>_xlfn.IFERROR(IF(Simulador!$U$29=1,0,IF($B15&lt;=0,0,$B15*Simulador!$AA$42)),0)</f>
        <v>0</v>
      </c>
      <c r="U15" s="107"/>
      <c r="V15" s="107">
        <f>_xlfn.IFERROR(IF(Simulador!$U$29=1,0,IF($B15&lt;=0,0,IF(Simulador!$D$22&gt;0,Simulador!$D$22,Simulador!$O$24)*Simulador!$AA$43)),0)</f>
        <v>0</v>
      </c>
      <c r="W15" s="107"/>
      <c r="X15" s="107"/>
      <c r="Y15" s="107">
        <f aca="true" t="shared" si="2" ref="Y15:Y78">IF(B15&lt;=0,0,D15+J15+T15+V15)</f>
        <v>0</v>
      </c>
      <c r="Z15" s="14"/>
      <c r="AA15" s="15"/>
      <c r="AB15" s="5"/>
      <c r="AC15" s="295">
        <v>0</v>
      </c>
      <c r="AD15" s="295">
        <f>IF(B15=0,0,1)</f>
        <v>0</v>
      </c>
      <c r="AE15" s="400">
        <f>IF(R15&lt;=0,IF(R14&gt;0,A15,0),0)</f>
        <v>1</v>
      </c>
      <c r="AF15" s="279">
        <f>IF(AE15&gt;0,AC15,0)</f>
        <v>0</v>
      </c>
      <c r="AG15" s="279">
        <f>IF(AE15&gt;0,AD15,0)</f>
        <v>0</v>
      </c>
      <c r="AH15" s="418">
        <f>Y15</f>
        <v>0</v>
      </c>
      <c r="AI15" s="296">
        <f>IF(Simulador!$T$67=1,'Tabla de amortizacion'!AJ15,'Tabla de amortizacion'!AR15)</f>
        <v>0.1</v>
      </c>
      <c r="AJ15" s="297">
        <f>Simulador!$I$41</f>
        <v>0.1</v>
      </c>
      <c r="AK15" s="298">
        <f>D15</f>
        <v>0</v>
      </c>
      <c r="AL15" s="562">
        <f>Simulador!AD55</f>
        <v>0.0995</v>
      </c>
      <c r="AM15" s="562">
        <f>Simulador!AA55</f>
        <v>0.0995</v>
      </c>
      <c r="AN15" s="563">
        <f>Simulador!X55</f>
        <v>0.0995</v>
      </c>
      <c r="AO15" s="563">
        <f>Simulador!U55</f>
        <v>0.0995</v>
      </c>
      <c r="AP15" s="299">
        <v>0</v>
      </c>
      <c r="AQ15" s="414">
        <f>_xlfn.IFERROR((AU15/AT15),0)</f>
        <v>0</v>
      </c>
      <c r="AR15" s="300">
        <f>IF(AND(Simulador!$T$67=2,Simulador!$T$61=1),AL15,IF(AND(Simulador!$T$67=2,Simulador!$T$61=2),AM15,IF(AND(Simulador!$T$67=2,Simulador!$T$61=3),AN15,AO15)))</f>
        <v>0.0995</v>
      </c>
      <c r="AS15" s="281"/>
      <c r="AT15" s="70">
        <f>B15</f>
        <v>0</v>
      </c>
      <c r="AU15" s="70">
        <f>D15</f>
        <v>0</v>
      </c>
      <c r="AV15" s="71">
        <f aca="true" t="shared" si="3" ref="AV15:AV78">_xlfn.IFERROR((AY15/360*BE15*AT15),0)</f>
        <v>0</v>
      </c>
      <c r="AW15" s="70">
        <f aca="true" t="shared" si="4" ref="AW15:AW78">+AU15-AV15</f>
        <v>0</v>
      </c>
      <c r="AX15" s="70">
        <f>+AT15-AW15</f>
        <v>0</v>
      </c>
      <c r="AY15" s="72">
        <f aca="true" t="shared" si="5" ref="AY15:AY78">IF(AT15=0,"",AI15)</f>
      </c>
      <c r="AZ15" s="70">
        <f>_xlfn.IFERROR(IF(Simulador!$U$29=1,0,IF($AT15&lt;=0.01,0,$AT15*Simulador!$AA$42)),0)+_xlfn.IFERROR(IF(Simulador!$U$29=1,0,IF($AT15&lt;=0.01,0,IF(Simulador!$D$22&gt;0,Simulador!$D$22,Simulador!$O$24)*Simulador!$AA$43)),0)</f>
        <v>0</v>
      </c>
      <c r="BA15" s="73"/>
      <c r="BB15" s="70">
        <f aca="true" t="shared" si="6" ref="BB15:BB78">AV15+AW15+AZ15</f>
        <v>0</v>
      </c>
      <c r="BC15" s="430">
        <f>IF(Simulador!T61=2,120,IF(Simulador!T61=3,180,IF(Simulador!T61=4,240,84)))</f>
        <v>240</v>
      </c>
      <c r="BD15" s="431">
        <f>IF(AT15=0,"",DATE(BG15,BH15+BK15,BJ15))</f>
      </c>
      <c r="BE15" s="432">
        <f>_xlfn.IFERROR(DAY(DATE(YEAR(BD15),MONTH(BD15)+1,0)),0)</f>
        <v>0</v>
      </c>
      <c r="BF15" s="69">
        <v>1</v>
      </c>
      <c r="BG15" s="433">
        <f ca="1">_xlfn.IFERROR(YEAR(Simulador!C8),YEAR(TODAY()))</f>
        <v>2021</v>
      </c>
      <c r="BH15" s="433">
        <f ca="1">_xlfn.IFERROR(MONTH(Simulador!C8),MONTH(TODAY()))</f>
        <v>2</v>
      </c>
      <c r="BI15" s="40">
        <f ca="1">_xlfn.IFERROR(DAY(Simulador!C8),DAY(TODAY()))</f>
        <v>8</v>
      </c>
      <c r="BJ15" s="433">
        <f>IF(AND(DAY(Simulador!C8)&gt;=3,DAY(Simulador!C8)&lt;=16),3,17)</f>
        <v>3</v>
      </c>
      <c r="BK15" s="40">
        <f>IF(BI15&gt;BJ15,1,0)</f>
        <v>1</v>
      </c>
      <c r="BM15" s="432"/>
    </row>
    <row r="16" spans="1:65" ht="12.75" customHeight="1">
      <c r="A16" s="531">
        <v>2</v>
      </c>
      <c r="B16" s="106">
        <f>IF(R15&lt;=0,0,R15)</f>
        <v>0</v>
      </c>
      <c r="C16" s="106"/>
      <c r="D16" s="107">
        <f>IF(B16+F16-D15&lt;=0,B16+F16,IF(AND(OR(Simulador!$U$38=2,Simulador!$U$38=7),J15=0),D15*(1+AA16),IF($AE$3=2,B16*AQ16,D15*(1+AA16))))</f>
        <v>0</v>
      </c>
      <c r="E16" s="107"/>
      <c r="F16" s="107">
        <f t="shared" si="0"/>
        <v>0</v>
      </c>
      <c r="G16" s="107"/>
      <c r="H16" s="107">
        <f>D16-F16</f>
        <v>0</v>
      </c>
      <c r="I16" s="108"/>
      <c r="J16" s="109"/>
      <c r="K16" s="108"/>
      <c r="L16" s="107">
        <f>IF(Simulador!$T$40=1,0,J16*Simulador!$W$38*1.16)</f>
        <v>0</v>
      </c>
      <c r="M16" s="107"/>
      <c r="N16" s="110">
        <f>IF(AND(Simulador!U38&lt;&gt;2,Simulador!U38&lt;&gt;5),0,IF(Simulador!D24*Simulador!$AE$73*2&gt;Simulador!$AF$75,Simulador!$AF$75,IF(B16=0,0,Simulador!D24*Simulador!$AE$73*2)))</f>
        <v>0</v>
      </c>
      <c r="O16" s="13"/>
      <c r="P16" s="664">
        <f t="shared" si="1"/>
      </c>
      <c r="Q16" s="3"/>
      <c r="R16" s="107">
        <f aca="true" t="shared" si="7" ref="R16:R79">B16-H16-J16+L16-N16</f>
        <v>0</v>
      </c>
      <c r="S16" s="107"/>
      <c r="T16" s="107">
        <f>_xlfn.IFERROR(IF(Simulador!$U$29=1,0,IF($B16&lt;=0,0,$B16*Simulador!$AA$42)),0)</f>
        <v>0</v>
      </c>
      <c r="U16" s="107"/>
      <c r="V16" s="107">
        <f>_xlfn.IFERROR(IF(Simulador!$U$29=1,0,IF($B16&lt;=0,0,IF(Simulador!$D$22&gt;0,Simulador!$D$22,Simulador!$O$24)*Simulador!$AA$43)),0)</f>
        <v>0</v>
      </c>
      <c r="W16" s="107"/>
      <c r="X16" s="107"/>
      <c r="Y16" s="107">
        <f t="shared" si="2"/>
        <v>0</v>
      </c>
      <c r="Z16" s="14"/>
      <c r="AA16" s="16"/>
      <c r="AB16" s="17"/>
      <c r="AC16" s="295">
        <v>0</v>
      </c>
      <c r="AD16" s="301">
        <v>2</v>
      </c>
      <c r="AE16" s="400">
        <f aca="true" t="shared" si="8" ref="AE16:AE79">IF(R16&lt;=0,IF(R15&gt;0,A16,0),0)</f>
        <v>0</v>
      </c>
      <c r="AF16" s="279">
        <f aca="true" t="shared" si="9" ref="AF16:AF79">IF(AE16&gt;0,AC16,0)</f>
        <v>0</v>
      </c>
      <c r="AG16" s="279">
        <f aca="true" t="shared" si="10" ref="AG16:AG79">IF(AE16&gt;0,AD16,0)</f>
        <v>0</v>
      </c>
      <c r="AH16" s="418">
        <f aca="true" t="shared" si="11" ref="AH16:AH79">Y16</f>
        <v>0</v>
      </c>
      <c r="AI16" s="296">
        <f>IF(Simulador!$T$67=1,'Tabla de amortizacion'!AJ16,'Tabla de amortizacion'!AR16)</f>
        <v>0.1</v>
      </c>
      <c r="AJ16" s="297">
        <f>Simulador!$I$41</f>
        <v>0.1</v>
      </c>
      <c r="AK16" s="298">
        <f aca="true" t="shared" si="12" ref="AK16:AK79">AK15*(1+AA16)</f>
        <v>0</v>
      </c>
      <c r="AL16" s="297">
        <f>AL15</f>
        <v>0.0995</v>
      </c>
      <c r="AM16" s="520">
        <f aca="true" t="shared" si="13" ref="AM16:AM26">AM15</f>
        <v>0.0995</v>
      </c>
      <c r="AN16" s="520">
        <f aca="true" t="shared" si="14" ref="AN16:AN26">AN15</f>
        <v>0.0995</v>
      </c>
      <c r="AO16" s="520">
        <f aca="true" t="shared" si="15" ref="AO16:AO26">AO15</f>
        <v>0.0995</v>
      </c>
      <c r="AP16" s="299">
        <v>0</v>
      </c>
      <c r="AQ16" s="414">
        <f aca="true" t="shared" si="16" ref="AQ16:AQ79">_xlfn.IFERROR((AU16/AT16),0)</f>
        <v>0</v>
      </c>
      <c r="AR16" s="300">
        <f>IF(AND(Simulador!$T$67=2,Simulador!$T$61=1),AL16,IF(AND(Simulador!$T$67=2,Simulador!$T$61=2),AM16,IF(AND(Simulador!$T$67=2,Simulador!$T$61=3),AN16,AO16)))</f>
        <v>0.0995</v>
      </c>
      <c r="AS16" s="281"/>
      <c r="AT16" s="70">
        <f aca="true" t="shared" si="17" ref="AT16:AT28">+AX15</f>
        <v>0</v>
      </c>
      <c r="AU16" s="70">
        <f aca="true" t="shared" si="18" ref="AU16:AU79">_xlfn.IFERROR((IF(AT16+AV16-AU15&lt;0,AT16+AV16,AU15*(1+BA16))),0)</f>
        <v>0</v>
      </c>
      <c r="AV16" s="71">
        <f t="shared" si="3"/>
        <v>0</v>
      </c>
      <c r="AW16" s="70">
        <f t="shared" si="4"/>
        <v>0</v>
      </c>
      <c r="AX16" s="70">
        <f aca="true" t="shared" si="19" ref="AX16:AX79">+AT16-AW16</f>
        <v>0</v>
      </c>
      <c r="AY16" s="72">
        <f t="shared" si="5"/>
      </c>
      <c r="AZ16" s="70">
        <f>_xlfn.IFERROR(IF(Simulador!$U$29=1,0,IF($AT16&lt;=0.01,0,$AT16*Simulador!$AA$42)),0)+_xlfn.IFERROR(IF(Simulador!$U$29=1,0,IF($AT16&lt;=0.01,0,IF(Simulador!$D$22&gt;0,Simulador!$D$22,Simulador!$O$24)*Simulador!$AA$43)),0)</f>
        <v>0</v>
      </c>
      <c r="BA16" s="73"/>
      <c r="BB16" s="70">
        <f t="shared" si="6"/>
        <v>0</v>
      </c>
      <c r="BC16">
        <f aca="true" t="shared" si="20" ref="BC16:BC79">_xlfn.IFERROR(IF(AU16&lt;=0.01,0,BC15-1),0)</f>
        <v>0</v>
      </c>
      <c r="BD16" s="431">
        <f aca="true" t="shared" si="21" ref="BD16:BD79">IF(AT16=0,"",DATE(YEAR(BD15),MONTH(BD15)+1,1))</f>
      </c>
      <c r="BE16" s="432">
        <f>_xlfn.IFERROR(DAY(DATE(YEAR(BD16),MONTH(BD16)+1,0)),0)</f>
        <v>0</v>
      </c>
      <c r="BF16" s="69">
        <v>2</v>
      </c>
      <c r="BG16" s="38"/>
      <c r="BH16" s="69"/>
      <c r="BJ16" s="69"/>
      <c r="BM16" s="432"/>
    </row>
    <row r="17" spans="1:65" ht="12">
      <c r="A17" s="531">
        <v>3</v>
      </c>
      <c r="B17" s="106">
        <f aca="true" t="shared" si="22" ref="B17:B80">IF(R16&lt;=0,0,R16)</f>
        <v>0</v>
      </c>
      <c r="C17" s="106"/>
      <c r="D17" s="107">
        <f>IF(B17+F17-D16&lt;=0,B17+F17,IF(AND(OR(Simulador!$U$38=2,Simulador!$U$38=7),J16=0),D16*(1+AA17),IF($AE$3=2,B17*AQ17,D16*(1+AA17))))</f>
        <v>0</v>
      </c>
      <c r="E17" s="107"/>
      <c r="F17" s="107">
        <f t="shared" si="0"/>
        <v>0</v>
      </c>
      <c r="G17" s="107"/>
      <c r="H17" s="107">
        <f aca="true" t="shared" si="23" ref="H17:H80">D17-F17</f>
        <v>0</v>
      </c>
      <c r="I17" s="108"/>
      <c r="J17" s="109"/>
      <c r="K17" s="108"/>
      <c r="L17" s="107">
        <f>IF(Simulador!$T$40=1,0,J17*Simulador!$W$38*1.16)</f>
        <v>0</v>
      </c>
      <c r="M17" s="107"/>
      <c r="N17" s="107"/>
      <c r="O17" s="13"/>
      <c r="P17" s="664">
        <f t="shared" si="1"/>
      </c>
      <c r="Q17" s="3"/>
      <c r="R17" s="107">
        <f t="shared" si="7"/>
        <v>0</v>
      </c>
      <c r="S17" s="107"/>
      <c r="T17" s="107">
        <f>_xlfn.IFERROR(IF(Simulador!$U$29=1,0,IF($B17&lt;=0,0,$B17*Simulador!$AA$42)),0)</f>
        <v>0</v>
      </c>
      <c r="U17" s="107"/>
      <c r="V17" s="107">
        <f>_xlfn.IFERROR(IF(Simulador!$U$29=1,0,IF($B17&lt;=0,0,IF(Simulador!$D$22&gt;0,Simulador!$D$22,Simulador!$O$24)*Simulador!$AA$43)),0)</f>
        <v>0</v>
      </c>
      <c r="W17" s="107"/>
      <c r="X17" s="107"/>
      <c r="Y17" s="107">
        <f t="shared" si="2"/>
        <v>0</v>
      </c>
      <c r="Z17" s="14"/>
      <c r="AA17" s="16"/>
      <c r="AB17" s="17"/>
      <c r="AC17" s="295">
        <v>0</v>
      </c>
      <c r="AD17" s="301">
        <v>3</v>
      </c>
      <c r="AE17" s="400">
        <f t="shared" si="8"/>
        <v>0</v>
      </c>
      <c r="AF17" s="279">
        <f t="shared" si="9"/>
        <v>0</v>
      </c>
      <c r="AG17" s="279">
        <f t="shared" si="10"/>
        <v>0</v>
      </c>
      <c r="AH17" s="418">
        <f t="shared" si="11"/>
        <v>0</v>
      </c>
      <c r="AI17" s="296">
        <f>IF(Simulador!$T$67=1,'Tabla de amortizacion'!AJ17,'Tabla de amortizacion'!AR17)</f>
        <v>0.1</v>
      </c>
      <c r="AJ17" s="297">
        <f>Simulador!$I$41</f>
        <v>0.1</v>
      </c>
      <c r="AK17" s="298">
        <f t="shared" si="12"/>
        <v>0</v>
      </c>
      <c r="AL17" s="297">
        <f aca="true" t="shared" si="24" ref="AL17:AL26">AL16</f>
        <v>0.0995</v>
      </c>
      <c r="AM17" s="520">
        <f t="shared" si="13"/>
        <v>0.0995</v>
      </c>
      <c r="AN17" s="520">
        <f t="shared" si="14"/>
        <v>0.0995</v>
      </c>
      <c r="AO17" s="520">
        <f t="shared" si="15"/>
        <v>0.0995</v>
      </c>
      <c r="AP17" s="299">
        <v>0</v>
      </c>
      <c r="AQ17" s="414">
        <f t="shared" si="16"/>
        <v>0</v>
      </c>
      <c r="AR17" s="300">
        <f>IF(AND(Simulador!$T$67=2,Simulador!$T$61=1),AL17,IF(AND(Simulador!$T$67=2,Simulador!$T$61=2),AM17,IF(AND(Simulador!$T$67=2,Simulador!$T$61=3),AN17,AO17)))</f>
        <v>0.0995</v>
      </c>
      <c r="AS17" s="281"/>
      <c r="AT17" s="70">
        <f t="shared" si="17"/>
        <v>0</v>
      </c>
      <c r="AU17" s="70">
        <f t="shared" si="18"/>
        <v>0</v>
      </c>
      <c r="AV17" s="71">
        <f t="shared" si="3"/>
        <v>0</v>
      </c>
      <c r="AW17" s="70">
        <f t="shared" si="4"/>
        <v>0</v>
      </c>
      <c r="AX17" s="70">
        <f t="shared" si="19"/>
        <v>0</v>
      </c>
      <c r="AY17" s="72">
        <f t="shared" si="5"/>
      </c>
      <c r="AZ17" s="70">
        <f>_xlfn.IFERROR(IF(Simulador!$U$29=1,0,IF($AT17&lt;=0.01,0,$AT17*Simulador!$AA$42)),0)+_xlfn.IFERROR(IF(Simulador!$U$29=1,0,IF($AT17&lt;=0.01,0,IF(Simulador!$D$22&gt;0,Simulador!$D$22,Simulador!$O$24)*Simulador!$AA$43)),0)</f>
        <v>0</v>
      </c>
      <c r="BA17" s="73"/>
      <c r="BB17" s="70">
        <f t="shared" si="6"/>
        <v>0</v>
      </c>
      <c r="BC17">
        <f t="shared" si="20"/>
        <v>0</v>
      </c>
      <c r="BD17" s="431">
        <f t="shared" si="21"/>
      </c>
      <c r="BE17" s="432">
        <f aca="true" t="shared" si="25" ref="BE17:BE79">_xlfn.IFERROR(DAY(DATE(YEAR(BD17),MONTH(BD17)+1,0)),0)</f>
        <v>0</v>
      </c>
      <c r="BF17" s="69">
        <v>3</v>
      </c>
      <c r="BG17" s="434" t="s">
        <v>277</v>
      </c>
      <c r="BH17" s="435">
        <f>365.25/12</f>
        <v>30.4375</v>
      </c>
      <c r="BJ17" s="69"/>
      <c r="BM17" s="432"/>
    </row>
    <row r="18" spans="1:65" ht="12">
      <c r="A18" s="531">
        <v>4</v>
      </c>
      <c r="B18" s="106">
        <f t="shared" si="22"/>
        <v>0</v>
      </c>
      <c r="C18" s="106"/>
      <c r="D18" s="107">
        <f>IF(B18+F18-D17&lt;=0,B18+F18,IF(AND(OR(Simulador!$U$38=2,Simulador!$U$38=7),J17=0),D17*(1+AA18),IF($AE$3=2,B18*AQ18,D17*(1+AA18))))</f>
        <v>0</v>
      </c>
      <c r="E18" s="107"/>
      <c r="F18" s="107">
        <f t="shared" si="0"/>
        <v>0</v>
      </c>
      <c r="G18" s="107"/>
      <c r="H18" s="107">
        <f t="shared" si="23"/>
        <v>0</v>
      </c>
      <c r="I18" s="108"/>
      <c r="J18" s="109"/>
      <c r="K18" s="108"/>
      <c r="L18" s="107">
        <f>IF(Simulador!$T$40=1,0,J18*Simulador!$W$38*1.16)</f>
        <v>0</v>
      </c>
      <c r="M18" s="107"/>
      <c r="N18" s="110">
        <f>IF(B18-H18=0,0,N16)</f>
        <v>0</v>
      </c>
      <c r="O18" s="13"/>
      <c r="P18" s="664">
        <f t="shared" si="1"/>
      </c>
      <c r="Q18" s="3"/>
      <c r="R18" s="107">
        <f t="shared" si="7"/>
        <v>0</v>
      </c>
      <c r="S18" s="107"/>
      <c r="T18" s="107">
        <f>_xlfn.IFERROR(IF(Simulador!$U$29=1,0,IF($B18&lt;=0,0,$B18*Simulador!$AA$42)),0)</f>
        <v>0</v>
      </c>
      <c r="U18" s="107"/>
      <c r="V18" s="107">
        <f>_xlfn.IFERROR(IF(Simulador!$U$29=1,0,IF($B18&lt;=0,0,IF(Simulador!$D$22&gt;0,Simulador!$D$22,Simulador!$O$24)*Simulador!$AA$43)),0)</f>
        <v>0</v>
      </c>
      <c r="W18" s="107"/>
      <c r="X18" s="107"/>
      <c r="Y18" s="107">
        <f t="shared" si="2"/>
        <v>0</v>
      </c>
      <c r="Z18" s="14"/>
      <c r="AA18" s="16"/>
      <c r="AB18" s="5"/>
      <c r="AC18" s="295">
        <v>0</v>
      </c>
      <c r="AD18" s="295">
        <v>4</v>
      </c>
      <c r="AE18" s="400">
        <f t="shared" si="8"/>
        <v>0</v>
      </c>
      <c r="AF18" s="279">
        <f t="shared" si="9"/>
        <v>0</v>
      </c>
      <c r="AG18" s="279">
        <f t="shared" si="10"/>
        <v>0</v>
      </c>
      <c r="AH18" s="418">
        <f t="shared" si="11"/>
        <v>0</v>
      </c>
      <c r="AI18" s="296">
        <f>IF(Simulador!$T$67=1,'Tabla de amortizacion'!AJ18,'Tabla de amortizacion'!AR18)</f>
        <v>0.1</v>
      </c>
      <c r="AJ18" s="297">
        <f>Simulador!$I$41</f>
        <v>0.1</v>
      </c>
      <c r="AK18" s="298">
        <f t="shared" si="12"/>
        <v>0</v>
      </c>
      <c r="AL18" s="297">
        <f t="shared" si="24"/>
        <v>0.0995</v>
      </c>
      <c r="AM18" s="520">
        <f t="shared" si="13"/>
        <v>0.0995</v>
      </c>
      <c r="AN18" s="520">
        <f t="shared" si="14"/>
        <v>0.0995</v>
      </c>
      <c r="AO18" s="520">
        <f t="shared" si="15"/>
        <v>0.0995</v>
      </c>
      <c r="AP18" s="299">
        <v>0</v>
      </c>
      <c r="AQ18" s="414">
        <f t="shared" si="16"/>
        <v>0</v>
      </c>
      <c r="AR18" s="300">
        <f>IF(AND(Simulador!$T$67=2,Simulador!$T$61=1),AL18,IF(AND(Simulador!$T$67=2,Simulador!$T$61=2),AM18,IF(AND(Simulador!$T$67=2,Simulador!$T$61=3),AN18,AO18)))</f>
        <v>0.0995</v>
      </c>
      <c r="AS18" s="281"/>
      <c r="AT18" s="70">
        <f t="shared" si="17"/>
        <v>0</v>
      </c>
      <c r="AU18" s="70">
        <f t="shared" si="18"/>
        <v>0</v>
      </c>
      <c r="AV18" s="71">
        <f t="shared" si="3"/>
        <v>0</v>
      </c>
      <c r="AW18" s="70">
        <f t="shared" si="4"/>
        <v>0</v>
      </c>
      <c r="AX18" s="70">
        <f t="shared" si="19"/>
        <v>0</v>
      </c>
      <c r="AY18" s="72">
        <f t="shared" si="5"/>
      </c>
      <c r="AZ18" s="70">
        <f>_xlfn.IFERROR(IF(Simulador!$U$29=1,0,IF($AT18&lt;=0.01,0,$AT18*Simulador!$AA$42)),0)+_xlfn.IFERROR(IF(Simulador!$U$29=1,0,IF($AT18&lt;=0.01,0,IF(Simulador!$D$22&gt;0,Simulador!$D$22,Simulador!$O$24)*Simulador!$AA$43)),0)</f>
        <v>0</v>
      </c>
      <c r="BA18" s="73"/>
      <c r="BB18" s="70">
        <f t="shared" si="6"/>
        <v>0</v>
      </c>
      <c r="BC18">
        <f t="shared" si="20"/>
        <v>0</v>
      </c>
      <c r="BD18" s="431">
        <f t="shared" si="21"/>
      </c>
      <c r="BE18" s="432">
        <f t="shared" si="25"/>
        <v>0</v>
      </c>
      <c r="BF18" s="69">
        <v>4</v>
      </c>
      <c r="BG18" s="38"/>
      <c r="BH18" s="436" t="s">
        <v>278</v>
      </c>
      <c r="BJ18" s="69"/>
      <c r="BM18" s="432"/>
    </row>
    <row r="19" spans="1:65" ht="12">
      <c r="A19" s="531">
        <v>5</v>
      </c>
      <c r="B19" s="106">
        <f t="shared" si="22"/>
        <v>0</v>
      </c>
      <c r="C19" s="106"/>
      <c r="D19" s="107">
        <f>IF(B19+F19-D18&lt;=0,B19+F19,IF(AND(OR(Simulador!$U$38=2,Simulador!$U$38=7),J18=0),D18*(1+AA19),IF($AE$3=2,B19*AQ19,D18*(1+AA19))))</f>
        <v>0</v>
      </c>
      <c r="E19" s="107"/>
      <c r="F19" s="107">
        <f t="shared" si="0"/>
        <v>0</v>
      </c>
      <c r="G19" s="107"/>
      <c r="H19" s="107">
        <f t="shared" si="23"/>
        <v>0</v>
      </c>
      <c r="I19" s="108"/>
      <c r="J19" s="109"/>
      <c r="K19" s="108"/>
      <c r="L19" s="107">
        <f>IF(Simulador!$T$40=1,0,J19*Simulador!$W$38*1.16)</f>
        <v>0</v>
      </c>
      <c r="M19" s="107"/>
      <c r="N19" s="111"/>
      <c r="O19" s="13"/>
      <c r="P19" s="664">
        <f t="shared" si="1"/>
      </c>
      <c r="Q19" s="3"/>
      <c r="R19" s="107">
        <f t="shared" si="7"/>
        <v>0</v>
      </c>
      <c r="S19" s="107"/>
      <c r="T19" s="107">
        <f>_xlfn.IFERROR(IF(Simulador!$U$29=1,0,IF($B19&lt;=0,0,$B19*Simulador!$AA$42)),0)</f>
        <v>0</v>
      </c>
      <c r="U19" s="107"/>
      <c r="V19" s="107">
        <f>_xlfn.IFERROR(IF(Simulador!$U$29=1,0,IF($B19&lt;=0,0,IF(Simulador!$D$22&gt;0,Simulador!$D$22,Simulador!$O$24)*Simulador!$AA$43)),0)</f>
        <v>0</v>
      </c>
      <c r="W19" s="107"/>
      <c r="X19" s="107"/>
      <c r="Y19" s="107">
        <f t="shared" si="2"/>
        <v>0</v>
      </c>
      <c r="Z19" s="14"/>
      <c r="AA19" s="16"/>
      <c r="AB19" s="5"/>
      <c r="AC19" s="295">
        <v>0</v>
      </c>
      <c r="AD19" s="295">
        <v>5</v>
      </c>
      <c r="AE19" s="400">
        <f t="shared" si="8"/>
        <v>0</v>
      </c>
      <c r="AF19" s="279">
        <f t="shared" si="9"/>
        <v>0</v>
      </c>
      <c r="AG19" s="279">
        <f t="shared" si="10"/>
        <v>0</v>
      </c>
      <c r="AH19" s="418">
        <f t="shared" si="11"/>
        <v>0</v>
      </c>
      <c r="AI19" s="296">
        <f>IF(Simulador!$T$67=1,'Tabla de amortizacion'!AJ19,'Tabla de amortizacion'!AR19)</f>
        <v>0.1</v>
      </c>
      <c r="AJ19" s="297">
        <f>Simulador!$I$41</f>
        <v>0.1</v>
      </c>
      <c r="AK19" s="298">
        <f t="shared" si="12"/>
        <v>0</v>
      </c>
      <c r="AL19" s="297">
        <f t="shared" si="24"/>
        <v>0.0995</v>
      </c>
      <c r="AM19" s="520">
        <f t="shared" si="13"/>
        <v>0.0995</v>
      </c>
      <c r="AN19" s="520">
        <f t="shared" si="14"/>
        <v>0.0995</v>
      </c>
      <c r="AO19" s="520">
        <f t="shared" si="15"/>
        <v>0.0995</v>
      </c>
      <c r="AP19" s="299">
        <v>0</v>
      </c>
      <c r="AQ19" s="414">
        <f t="shared" si="16"/>
        <v>0</v>
      </c>
      <c r="AR19" s="300">
        <f>IF(AND(Simulador!$T$67=2,Simulador!$T$61=1),AL19,IF(AND(Simulador!$T$67=2,Simulador!$T$61=2),AM19,IF(AND(Simulador!$T$67=2,Simulador!$T$61=3),AN19,AO19)))</f>
        <v>0.0995</v>
      </c>
      <c r="AS19" s="281"/>
      <c r="AT19" s="70">
        <f t="shared" si="17"/>
        <v>0</v>
      </c>
      <c r="AU19" s="70">
        <f t="shared" si="18"/>
        <v>0</v>
      </c>
      <c r="AV19" s="71">
        <f t="shared" si="3"/>
        <v>0</v>
      </c>
      <c r="AW19" s="70">
        <f t="shared" si="4"/>
        <v>0</v>
      </c>
      <c r="AX19" s="70">
        <f t="shared" si="19"/>
        <v>0</v>
      </c>
      <c r="AY19" s="72">
        <f t="shared" si="5"/>
      </c>
      <c r="AZ19" s="70">
        <f>_xlfn.IFERROR(IF(Simulador!$U$29=1,0,IF($AT19&lt;=0.01,0,$AT19*Simulador!$AA$42)),0)+_xlfn.IFERROR(IF(Simulador!$U$29=1,0,IF($AT19&lt;=0.01,0,IF(Simulador!$D$22&gt;0,Simulador!$D$22,Simulador!$O$24)*Simulador!$AA$43)),0)</f>
        <v>0</v>
      </c>
      <c r="BA19" s="73"/>
      <c r="BB19" s="70">
        <f t="shared" si="6"/>
        <v>0</v>
      </c>
      <c r="BC19">
        <f t="shared" si="20"/>
        <v>0</v>
      </c>
      <c r="BD19" s="431">
        <f t="shared" si="21"/>
      </c>
      <c r="BE19" s="432">
        <f t="shared" si="25"/>
        <v>0</v>
      </c>
      <c r="BF19" s="69">
        <v>5</v>
      </c>
      <c r="BG19" s="38"/>
      <c r="BJ19" s="69"/>
      <c r="BM19" s="432"/>
    </row>
    <row r="20" spans="1:65" ht="12">
      <c r="A20" s="531">
        <v>6</v>
      </c>
      <c r="B20" s="106">
        <f t="shared" si="22"/>
        <v>0</v>
      </c>
      <c r="C20" s="106"/>
      <c r="D20" s="107">
        <f>IF(B20+F20-D19&lt;=0,B20+F20,IF(AND(OR(Simulador!$U$38=2,Simulador!$U$38=7),J19=0),D19*(1+AA20),IF($AE$3=2,B20*AQ20,D19*(1+AA20))))</f>
        <v>0</v>
      </c>
      <c r="E20" s="107"/>
      <c r="F20" s="107">
        <f t="shared" si="0"/>
        <v>0</v>
      </c>
      <c r="G20" s="107"/>
      <c r="H20" s="107">
        <f t="shared" si="23"/>
        <v>0</v>
      </c>
      <c r="I20" s="108"/>
      <c r="J20" s="109"/>
      <c r="K20" s="108"/>
      <c r="L20" s="107">
        <f>IF(Simulador!$T$40=1,0,J20*Simulador!$W$38*1.16)</f>
        <v>0</v>
      </c>
      <c r="M20" s="107"/>
      <c r="N20" s="110">
        <f>IF(B20-H20=0,0,N18)</f>
        <v>0</v>
      </c>
      <c r="O20" s="13"/>
      <c r="P20" s="664">
        <f t="shared" si="1"/>
      </c>
      <c r="Q20" s="3"/>
      <c r="R20" s="107">
        <f t="shared" si="7"/>
        <v>0</v>
      </c>
      <c r="S20" s="107"/>
      <c r="T20" s="107">
        <f>_xlfn.IFERROR(IF(Simulador!$U$29=1,0,IF($B20&lt;=0,0,$B20*Simulador!$AA$42)),0)</f>
        <v>0</v>
      </c>
      <c r="U20" s="107"/>
      <c r="V20" s="107">
        <f>_xlfn.IFERROR(IF(Simulador!$U$29=1,0,IF($B20&lt;=0,0,IF(Simulador!$D$22&gt;0,Simulador!$D$22,Simulador!$O$24)*Simulador!$AA$43)),0)</f>
        <v>0</v>
      </c>
      <c r="W20" s="107"/>
      <c r="X20" s="107"/>
      <c r="Y20" s="107">
        <f t="shared" si="2"/>
        <v>0</v>
      </c>
      <c r="Z20" s="14"/>
      <c r="AA20" s="16"/>
      <c r="AB20" s="5"/>
      <c r="AC20" s="295">
        <v>0</v>
      </c>
      <c r="AD20" s="295">
        <v>6</v>
      </c>
      <c r="AE20" s="400">
        <f t="shared" si="8"/>
        <v>0</v>
      </c>
      <c r="AF20" s="279">
        <f t="shared" si="9"/>
        <v>0</v>
      </c>
      <c r="AG20" s="279">
        <f t="shared" si="10"/>
        <v>0</v>
      </c>
      <c r="AH20" s="418">
        <f t="shared" si="11"/>
        <v>0</v>
      </c>
      <c r="AI20" s="296">
        <f>IF(Simulador!$T$67=1,'Tabla de amortizacion'!AJ20,'Tabla de amortizacion'!AR20)</f>
        <v>0.1</v>
      </c>
      <c r="AJ20" s="297">
        <f>Simulador!$I$41</f>
        <v>0.1</v>
      </c>
      <c r="AK20" s="298">
        <f t="shared" si="12"/>
        <v>0</v>
      </c>
      <c r="AL20" s="297">
        <f t="shared" si="24"/>
        <v>0.0995</v>
      </c>
      <c r="AM20" s="520">
        <f t="shared" si="13"/>
        <v>0.0995</v>
      </c>
      <c r="AN20" s="520">
        <f t="shared" si="14"/>
        <v>0.0995</v>
      </c>
      <c r="AO20" s="520">
        <f t="shared" si="15"/>
        <v>0.0995</v>
      </c>
      <c r="AP20" s="299">
        <v>0</v>
      </c>
      <c r="AQ20" s="414">
        <f t="shared" si="16"/>
        <v>0</v>
      </c>
      <c r="AR20" s="300">
        <f>IF(AND(Simulador!$T$67=2,Simulador!$T$61=1),AL20,IF(AND(Simulador!$T$67=2,Simulador!$T$61=2),AM20,IF(AND(Simulador!$T$67=2,Simulador!$T$61=3),AN20,AO20)))</f>
        <v>0.0995</v>
      </c>
      <c r="AS20" s="281"/>
      <c r="AT20" s="70">
        <f t="shared" si="17"/>
        <v>0</v>
      </c>
      <c r="AU20" s="70">
        <f t="shared" si="18"/>
        <v>0</v>
      </c>
      <c r="AV20" s="71">
        <f t="shared" si="3"/>
        <v>0</v>
      </c>
      <c r="AW20" s="70">
        <f t="shared" si="4"/>
        <v>0</v>
      </c>
      <c r="AX20" s="70">
        <f t="shared" si="19"/>
        <v>0</v>
      </c>
      <c r="AY20" s="72">
        <f t="shared" si="5"/>
      </c>
      <c r="AZ20" s="70">
        <f>_xlfn.IFERROR(IF(Simulador!$U$29=1,0,IF($AT20&lt;=0.01,0,$AT20*Simulador!$AA$42)),0)+_xlfn.IFERROR(IF(Simulador!$U$29=1,0,IF($AT20&lt;=0.01,0,IF(Simulador!$D$22&gt;0,Simulador!$D$22,Simulador!$O$24)*Simulador!$AA$43)),0)</f>
        <v>0</v>
      </c>
      <c r="BA20" s="73"/>
      <c r="BB20" s="70">
        <f t="shared" si="6"/>
        <v>0</v>
      </c>
      <c r="BC20">
        <f t="shared" si="20"/>
        <v>0</v>
      </c>
      <c r="BD20" s="431">
        <f t="shared" si="21"/>
      </c>
      <c r="BE20" s="432">
        <f t="shared" si="25"/>
        <v>0</v>
      </c>
      <c r="BF20" s="69">
        <v>6</v>
      </c>
      <c r="BG20" s="38"/>
      <c r="BJ20" s="69"/>
      <c r="BM20" s="432"/>
    </row>
    <row r="21" spans="1:65" ht="12">
      <c r="A21" s="531">
        <v>7</v>
      </c>
      <c r="B21" s="106">
        <f t="shared" si="22"/>
        <v>0</v>
      </c>
      <c r="C21" s="106"/>
      <c r="D21" s="107">
        <f>IF(B21+F21-D20&lt;=0,B21+F21,IF(AND(OR(Simulador!$U$38=2,Simulador!$U$38=7),J20=0),D20*(1+AA21),IF($AE$3=2,B21*AQ21,D20*(1+AA21))))</f>
        <v>0</v>
      </c>
      <c r="E21" s="107"/>
      <c r="F21" s="107">
        <f t="shared" si="0"/>
        <v>0</v>
      </c>
      <c r="G21" s="107"/>
      <c r="H21" s="107">
        <f t="shared" si="23"/>
        <v>0</v>
      </c>
      <c r="I21" s="108"/>
      <c r="J21" s="109"/>
      <c r="K21" s="108"/>
      <c r="L21" s="107">
        <f>IF(Simulador!$T$40=1,0,J21*Simulador!$W$38*1.16)</f>
        <v>0</v>
      </c>
      <c r="M21" s="107"/>
      <c r="N21" s="111"/>
      <c r="O21" s="13"/>
      <c r="P21" s="664">
        <f t="shared" si="1"/>
      </c>
      <c r="Q21" s="3"/>
      <c r="R21" s="107">
        <f t="shared" si="7"/>
        <v>0</v>
      </c>
      <c r="S21" s="107"/>
      <c r="T21" s="107">
        <f>_xlfn.IFERROR(IF(Simulador!$U$29=1,0,IF($B21&lt;=0,0,$B21*Simulador!$AA$42)),0)</f>
        <v>0</v>
      </c>
      <c r="U21" s="107"/>
      <c r="V21" s="107">
        <f>_xlfn.IFERROR(IF(Simulador!$U$29=1,0,IF($B21&lt;=0,0,IF(Simulador!$D$22&gt;0,Simulador!$D$22,Simulador!$O$24)*Simulador!$AA$43)),0)</f>
        <v>0</v>
      </c>
      <c r="W21" s="107"/>
      <c r="X21" s="107"/>
      <c r="Y21" s="107">
        <f t="shared" si="2"/>
        <v>0</v>
      </c>
      <c r="Z21" s="14"/>
      <c r="AA21" s="16"/>
      <c r="AB21" s="5"/>
      <c r="AC21" s="295">
        <v>0</v>
      </c>
      <c r="AD21" s="295">
        <v>7</v>
      </c>
      <c r="AE21" s="400">
        <f t="shared" si="8"/>
        <v>0</v>
      </c>
      <c r="AF21" s="279">
        <f t="shared" si="9"/>
        <v>0</v>
      </c>
      <c r="AG21" s="279">
        <f t="shared" si="10"/>
        <v>0</v>
      </c>
      <c r="AH21" s="418">
        <f t="shared" si="11"/>
        <v>0</v>
      </c>
      <c r="AI21" s="296">
        <f>IF(Simulador!$T$67=1,'Tabla de amortizacion'!AJ21,'Tabla de amortizacion'!AR21)</f>
        <v>0.1</v>
      </c>
      <c r="AJ21" s="297">
        <f>Simulador!$I$41</f>
        <v>0.1</v>
      </c>
      <c r="AK21" s="298">
        <f t="shared" si="12"/>
        <v>0</v>
      </c>
      <c r="AL21" s="297">
        <f t="shared" si="24"/>
        <v>0.0995</v>
      </c>
      <c r="AM21" s="520">
        <f t="shared" si="13"/>
        <v>0.0995</v>
      </c>
      <c r="AN21" s="520">
        <f t="shared" si="14"/>
        <v>0.0995</v>
      </c>
      <c r="AO21" s="520">
        <f t="shared" si="15"/>
        <v>0.0995</v>
      </c>
      <c r="AP21" s="299">
        <v>0</v>
      </c>
      <c r="AQ21" s="414">
        <f t="shared" si="16"/>
        <v>0</v>
      </c>
      <c r="AR21" s="300">
        <f>IF(AND(Simulador!$T$67=2,Simulador!$T$61=1),AL21,IF(AND(Simulador!$T$67=2,Simulador!$T$61=2),AM21,IF(AND(Simulador!$T$67=2,Simulador!$T$61=3),AN21,AO21)))</f>
        <v>0.0995</v>
      </c>
      <c r="AS21" s="281"/>
      <c r="AT21" s="70">
        <f t="shared" si="17"/>
        <v>0</v>
      </c>
      <c r="AU21" s="70">
        <f t="shared" si="18"/>
        <v>0</v>
      </c>
      <c r="AV21" s="71">
        <f t="shared" si="3"/>
        <v>0</v>
      </c>
      <c r="AW21" s="70">
        <f t="shared" si="4"/>
        <v>0</v>
      </c>
      <c r="AX21" s="70">
        <f t="shared" si="19"/>
        <v>0</v>
      </c>
      <c r="AY21" s="72">
        <f t="shared" si="5"/>
      </c>
      <c r="AZ21" s="70">
        <f>_xlfn.IFERROR(IF(Simulador!$U$29=1,0,IF($AT21&lt;=0.01,0,$AT21*Simulador!$AA$42)),0)+_xlfn.IFERROR(IF(Simulador!$U$29=1,0,IF($AT21&lt;=0.01,0,IF(Simulador!$D$22&gt;0,Simulador!$D$22,Simulador!$O$24)*Simulador!$AA$43)),0)</f>
        <v>0</v>
      </c>
      <c r="BA21" s="73"/>
      <c r="BB21" s="70">
        <f t="shared" si="6"/>
        <v>0</v>
      </c>
      <c r="BC21">
        <f t="shared" si="20"/>
        <v>0</v>
      </c>
      <c r="BD21" s="431">
        <f t="shared" si="21"/>
      </c>
      <c r="BE21" s="432">
        <f t="shared" si="25"/>
        <v>0</v>
      </c>
      <c r="BF21" s="69">
        <v>7</v>
      </c>
      <c r="BG21" s="38"/>
      <c r="BJ21" s="69"/>
      <c r="BM21" s="432"/>
    </row>
    <row r="22" spans="1:65" ht="12">
      <c r="A22" s="531">
        <v>8</v>
      </c>
      <c r="B22" s="106">
        <f t="shared" si="22"/>
        <v>0</v>
      </c>
      <c r="C22" s="106"/>
      <c r="D22" s="107">
        <f>IF(B22+F22-D21&lt;=0,B22+F22,IF(AND(OR(Simulador!$U$38=2,Simulador!$U$38=7),J21=0),D21*(1+AA22),IF($AE$3=2,B22*AQ22,D21*(1+AA22))))</f>
        <v>0</v>
      </c>
      <c r="E22" s="107"/>
      <c r="F22" s="107">
        <f t="shared" si="0"/>
        <v>0</v>
      </c>
      <c r="G22" s="107"/>
      <c r="H22" s="107">
        <f t="shared" si="23"/>
        <v>0</v>
      </c>
      <c r="I22" s="108"/>
      <c r="J22" s="109"/>
      <c r="K22" s="108"/>
      <c r="L22" s="107">
        <f>IF(Simulador!$T$40=1,0,J22*Simulador!$W$38*1.16)</f>
        <v>0</v>
      </c>
      <c r="M22" s="107"/>
      <c r="N22" s="110">
        <f>IF(B22-H22=0,0,N20)</f>
        <v>0</v>
      </c>
      <c r="O22" s="13"/>
      <c r="P22" s="664">
        <f t="shared" si="1"/>
      </c>
      <c r="Q22" s="3"/>
      <c r="R22" s="107">
        <f t="shared" si="7"/>
        <v>0</v>
      </c>
      <c r="S22" s="107"/>
      <c r="T22" s="107">
        <f>_xlfn.IFERROR(IF(Simulador!$U$29=1,0,IF($B22&lt;=0,0,$B22*Simulador!$AA$42)),0)</f>
        <v>0</v>
      </c>
      <c r="U22" s="107"/>
      <c r="V22" s="107">
        <f>_xlfn.IFERROR(IF(Simulador!$U$29=1,0,IF($B22&lt;=0,0,IF(Simulador!$D$22&gt;0,Simulador!$D$22,Simulador!$O$24)*Simulador!$AA$43)),0)</f>
        <v>0</v>
      </c>
      <c r="W22" s="107"/>
      <c r="X22" s="107"/>
      <c r="Y22" s="107">
        <f t="shared" si="2"/>
        <v>0</v>
      </c>
      <c r="Z22" s="14"/>
      <c r="AA22" s="16"/>
      <c r="AB22" s="5"/>
      <c r="AC22" s="295">
        <v>0</v>
      </c>
      <c r="AD22" s="295">
        <v>8</v>
      </c>
      <c r="AE22" s="400">
        <f t="shared" si="8"/>
        <v>0</v>
      </c>
      <c r="AF22" s="279">
        <f t="shared" si="9"/>
        <v>0</v>
      </c>
      <c r="AG22" s="279">
        <f t="shared" si="10"/>
        <v>0</v>
      </c>
      <c r="AH22" s="418">
        <f t="shared" si="11"/>
        <v>0</v>
      </c>
      <c r="AI22" s="296">
        <f>IF(Simulador!$T$67=1,'Tabla de amortizacion'!AJ22,'Tabla de amortizacion'!AR22)</f>
        <v>0.1</v>
      </c>
      <c r="AJ22" s="297">
        <f>Simulador!$I$41</f>
        <v>0.1</v>
      </c>
      <c r="AK22" s="298">
        <f t="shared" si="12"/>
        <v>0</v>
      </c>
      <c r="AL22" s="297">
        <f t="shared" si="24"/>
        <v>0.0995</v>
      </c>
      <c r="AM22" s="520">
        <f t="shared" si="13"/>
        <v>0.0995</v>
      </c>
      <c r="AN22" s="520">
        <f t="shared" si="14"/>
        <v>0.0995</v>
      </c>
      <c r="AO22" s="520">
        <f t="shared" si="15"/>
        <v>0.0995</v>
      </c>
      <c r="AP22" s="299">
        <v>0</v>
      </c>
      <c r="AQ22" s="414">
        <f t="shared" si="16"/>
        <v>0</v>
      </c>
      <c r="AR22" s="300">
        <f>IF(AND(Simulador!$T$67=2,Simulador!$T$61=1),AL22,IF(AND(Simulador!$T$67=2,Simulador!$T$61=2),AM22,IF(AND(Simulador!$T$67=2,Simulador!$T$61=3),AN22,AO22)))</f>
        <v>0.0995</v>
      </c>
      <c r="AS22" s="281"/>
      <c r="AT22" s="70">
        <f t="shared" si="17"/>
        <v>0</v>
      </c>
      <c r="AU22" s="70">
        <f t="shared" si="18"/>
        <v>0</v>
      </c>
      <c r="AV22" s="71">
        <f t="shared" si="3"/>
        <v>0</v>
      </c>
      <c r="AW22" s="70">
        <f t="shared" si="4"/>
        <v>0</v>
      </c>
      <c r="AX22" s="70">
        <f t="shared" si="19"/>
        <v>0</v>
      </c>
      <c r="AY22" s="72">
        <f t="shared" si="5"/>
      </c>
      <c r="AZ22" s="70">
        <f>_xlfn.IFERROR(IF(Simulador!$U$29=1,0,IF($AT22&lt;=0.01,0,$AT22*Simulador!$AA$42)),0)+_xlfn.IFERROR(IF(Simulador!$U$29=1,0,IF($AT22&lt;=0.01,0,IF(Simulador!$D$22&gt;0,Simulador!$D$22,Simulador!$O$24)*Simulador!$AA$43)),0)</f>
        <v>0</v>
      </c>
      <c r="BA22" s="73"/>
      <c r="BB22" s="70">
        <f t="shared" si="6"/>
        <v>0</v>
      </c>
      <c r="BC22">
        <f t="shared" si="20"/>
        <v>0</v>
      </c>
      <c r="BD22" s="431">
        <f t="shared" si="21"/>
      </c>
      <c r="BE22" s="432">
        <f t="shared" si="25"/>
        <v>0</v>
      </c>
      <c r="BF22" s="69">
        <v>8</v>
      </c>
      <c r="BG22" s="38"/>
      <c r="BJ22" s="69"/>
      <c r="BM22" s="432"/>
    </row>
    <row r="23" spans="1:65" ht="12">
      <c r="A23" s="531">
        <v>9</v>
      </c>
      <c r="B23" s="106">
        <f t="shared" si="22"/>
        <v>0</v>
      </c>
      <c r="C23" s="106"/>
      <c r="D23" s="107">
        <f>IF(B23+F23-D22&lt;=0,B23+F23,IF(AND(OR(Simulador!$U$38=2,Simulador!$U$38=7),J22=0),D22*(1+AA23),IF($AE$3=2,B23*AQ23,D22*(1+AA23))))</f>
        <v>0</v>
      </c>
      <c r="E23" s="107"/>
      <c r="F23" s="107">
        <f t="shared" si="0"/>
        <v>0</v>
      </c>
      <c r="G23" s="107"/>
      <c r="H23" s="107">
        <f t="shared" si="23"/>
        <v>0</v>
      </c>
      <c r="I23" s="108"/>
      <c r="J23" s="109"/>
      <c r="K23" s="108"/>
      <c r="L23" s="107">
        <f>IF(Simulador!$T$40=1,0,J23*Simulador!$W$38*1.16)</f>
        <v>0</v>
      </c>
      <c r="M23" s="107"/>
      <c r="N23" s="111"/>
      <c r="O23" s="13"/>
      <c r="P23" s="664">
        <f t="shared" si="1"/>
      </c>
      <c r="Q23" s="3"/>
      <c r="R23" s="107">
        <f t="shared" si="7"/>
        <v>0</v>
      </c>
      <c r="S23" s="107"/>
      <c r="T23" s="107">
        <f>_xlfn.IFERROR(IF(Simulador!$U$29=1,0,IF($B23&lt;=0,0,$B23*Simulador!$AA$42)),0)</f>
        <v>0</v>
      </c>
      <c r="U23" s="107"/>
      <c r="V23" s="107">
        <f>_xlfn.IFERROR(IF(Simulador!$U$29=1,0,IF($B23&lt;=0,0,IF(Simulador!$D$22&gt;0,Simulador!$D$22,Simulador!$O$24)*Simulador!$AA$43)),0)</f>
        <v>0</v>
      </c>
      <c r="W23" s="107"/>
      <c r="X23" s="107"/>
      <c r="Y23" s="107">
        <f t="shared" si="2"/>
        <v>0</v>
      </c>
      <c r="Z23" s="14"/>
      <c r="AA23" s="16"/>
      <c r="AB23" s="18"/>
      <c r="AC23" s="295">
        <v>0</v>
      </c>
      <c r="AD23" s="302">
        <v>9</v>
      </c>
      <c r="AE23" s="400">
        <f t="shared" si="8"/>
        <v>0</v>
      </c>
      <c r="AF23" s="279">
        <f t="shared" si="9"/>
        <v>0</v>
      </c>
      <c r="AG23" s="279">
        <f t="shared" si="10"/>
        <v>0</v>
      </c>
      <c r="AH23" s="418">
        <f t="shared" si="11"/>
        <v>0</v>
      </c>
      <c r="AI23" s="296">
        <f>IF(Simulador!$T$67=1,'Tabla de amortizacion'!AJ23,'Tabla de amortizacion'!AR23)</f>
        <v>0.1</v>
      </c>
      <c r="AJ23" s="297">
        <f>Simulador!$I$41</f>
        <v>0.1</v>
      </c>
      <c r="AK23" s="298">
        <f t="shared" si="12"/>
        <v>0</v>
      </c>
      <c r="AL23" s="297">
        <f t="shared" si="24"/>
        <v>0.0995</v>
      </c>
      <c r="AM23" s="520">
        <f t="shared" si="13"/>
        <v>0.0995</v>
      </c>
      <c r="AN23" s="520">
        <f t="shared" si="14"/>
        <v>0.0995</v>
      </c>
      <c r="AO23" s="520">
        <f t="shared" si="15"/>
        <v>0.0995</v>
      </c>
      <c r="AP23" s="299">
        <v>0</v>
      </c>
      <c r="AQ23" s="414">
        <f t="shared" si="16"/>
        <v>0</v>
      </c>
      <c r="AR23" s="300">
        <f>IF(AND(Simulador!$T$67=2,Simulador!$T$61=1),AL23,IF(AND(Simulador!$T$67=2,Simulador!$T$61=2),AM23,IF(AND(Simulador!$T$67=2,Simulador!$T$61=3),AN23,AO23)))</f>
        <v>0.0995</v>
      </c>
      <c r="AS23" s="281"/>
      <c r="AT23" s="70">
        <f t="shared" si="17"/>
        <v>0</v>
      </c>
      <c r="AU23" s="70">
        <f t="shared" si="18"/>
        <v>0</v>
      </c>
      <c r="AV23" s="71">
        <f t="shared" si="3"/>
        <v>0</v>
      </c>
      <c r="AW23" s="70">
        <f t="shared" si="4"/>
        <v>0</v>
      </c>
      <c r="AX23" s="70">
        <f t="shared" si="19"/>
        <v>0</v>
      </c>
      <c r="AY23" s="72">
        <f t="shared" si="5"/>
      </c>
      <c r="AZ23" s="70">
        <f>_xlfn.IFERROR(IF(Simulador!$U$29=1,0,IF($AT23&lt;=0.01,0,$AT23*Simulador!$AA$42)),0)+_xlfn.IFERROR(IF(Simulador!$U$29=1,0,IF($AT23&lt;=0.01,0,IF(Simulador!$D$22&gt;0,Simulador!$D$22,Simulador!$O$24)*Simulador!$AA$43)),0)</f>
        <v>0</v>
      </c>
      <c r="BA23" s="73"/>
      <c r="BB23" s="70">
        <f t="shared" si="6"/>
        <v>0</v>
      </c>
      <c r="BC23">
        <f t="shared" si="20"/>
        <v>0</v>
      </c>
      <c r="BD23" s="431">
        <f t="shared" si="21"/>
      </c>
      <c r="BE23" s="432">
        <f t="shared" si="25"/>
        <v>0</v>
      </c>
      <c r="BF23" s="69">
        <v>9</v>
      </c>
      <c r="BG23" s="38"/>
      <c r="BJ23" s="69"/>
      <c r="BM23" s="432"/>
    </row>
    <row r="24" spans="1:65" ht="12">
      <c r="A24" s="531">
        <v>10</v>
      </c>
      <c r="B24" s="106">
        <f t="shared" si="22"/>
        <v>0</v>
      </c>
      <c r="C24" s="106"/>
      <c r="D24" s="107">
        <f>IF(B24+F24-D23&lt;=0,B24+F24,IF(AND(OR(Simulador!$U$38=2,Simulador!$U$38=7),J23=0),D23*(1+AA24),IF($AE$3=2,B24*AQ24,D23*(1+AA24))))</f>
        <v>0</v>
      </c>
      <c r="E24" s="107"/>
      <c r="F24" s="107">
        <f t="shared" si="0"/>
        <v>0</v>
      </c>
      <c r="G24" s="107"/>
      <c r="H24" s="107">
        <f t="shared" si="23"/>
        <v>0</v>
      </c>
      <c r="I24" s="108"/>
      <c r="J24" s="109"/>
      <c r="K24" s="108"/>
      <c r="L24" s="107">
        <f>IF(Simulador!$T$40=1,0,J24*Simulador!$W$38*1.16)</f>
        <v>0</v>
      </c>
      <c r="M24" s="107"/>
      <c r="N24" s="110">
        <f>IF(B24-H24=0,0,N22)</f>
        <v>0</v>
      </c>
      <c r="O24" s="13"/>
      <c r="P24" s="664">
        <f t="shared" si="1"/>
      </c>
      <c r="Q24" s="3"/>
      <c r="R24" s="107">
        <f t="shared" si="7"/>
        <v>0</v>
      </c>
      <c r="S24" s="107"/>
      <c r="T24" s="107">
        <f>_xlfn.IFERROR(IF(Simulador!$U$29=1,0,IF($B24&lt;=0,0,$B24*Simulador!$AA$42)),0)</f>
        <v>0</v>
      </c>
      <c r="U24" s="107"/>
      <c r="V24" s="107">
        <f>_xlfn.IFERROR(IF(Simulador!$U$29=1,0,IF($B24&lt;=0,0,IF(Simulador!$D$22&gt;0,Simulador!$D$22,Simulador!$O$24)*Simulador!$AA$43)),0)</f>
        <v>0</v>
      </c>
      <c r="W24" s="107"/>
      <c r="X24" s="107"/>
      <c r="Y24" s="107">
        <f t="shared" si="2"/>
        <v>0</v>
      </c>
      <c r="Z24" s="14"/>
      <c r="AA24" s="16"/>
      <c r="AB24" s="18"/>
      <c r="AC24" s="295">
        <v>0</v>
      </c>
      <c r="AD24" s="302">
        <v>10</v>
      </c>
      <c r="AE24" s="400">
        <f t="shared" si="8"/>
        <v>0</v>
      </c>
      <c r="AF24" s="279">
        <f t="shared" si="9"/>
        <v>0</v>
      </c>
      <c r="AG24" s="279">
        <f t="shared" si="10"/>
        <v>0</v>
      </c>
      <c r="AH24" s="418">
        <f t="shared" si="11"/>
        <v>0</v>
      </c>
      <c r="AI24" s="296">
        <f>IF(Simulador!$T$67=1,'Tabla de amortizacion'!AJ24,'Tabla de amortizacion'!AR24)</f>
        <v>0.1</v>
      </c>
      <c r="AJ24" s="297">
        <f>Simulador!$I$41</f>
        <v>0.1</v>
      </c>
      <c r="AK24" s="298">
        <f t="shared" si="12"/>
        <v>0</v>
      </c>
      <c r="AL24" s="297">
        <f t="shared" si="24"/>
        <v>0.0995</v>
      </c>
      <c r="AM24" s="520">
        <f t="shared" si="13"/>
        <v>0.0995</v>
      </c>
      <c r="AN24" s="520">
        <f t="shared" si="14"/>
        <v>0.0995</v>
      </c>
      <c r="AO24" s="520">
        <f t="shared" si="15"/>
        <v>0.0995</v>
      </c>
      <c r="AP24" s="299">
        <v>0</v>
      </c>
      <c r="AQ24" s="414">
        <f t="shared" si="16"/>
        <v>0</v>
      </c>
      <c r="AR24" s="300">
        <f>IF(AND(Simulador!$T$67=2,Simulador!$T$61=1),AL24,IF(AND(Simulador!$T$67=2,Simulador!$T$61=2),AM24,IF(AND(Simulador!$T$67=2,Simulador!$T$61=3),AN24,AO24)))</f>
        <v>0.0995</v>
      </c>
      <c r="AS24" s="281"/>
      <c r="AT24" s="70">
        <f t="shared" si="17"/>
        <v>0</v>
      </c>
      <c r="AU24" s="70">
        <f t="shared" si="18"/>
        <v>0</v>
      </c>
      <c r="AV24" s="71">
        <f t="shared" si="3"/>
        <v>0</v>
      </c>
      <c r="AW24" s="70">
        <f t="shared" si="4"/>
        <v>0</v>
      </c>
      <c r="AX24" s="70">
        <f t="shared" si="19"/>
        <v>0</v>
      </c>
      <c r="AY24" s="72">
        <f t="shared" si="5"/>
      </c>
      <c r="AZ24" s="70">
        <f>_xlfn.IFERROR(IF(Simulador!$U$29=1,0,IF($AT24&lt;=0.01,0,$AT24*Simulador!$AA$42)),0)+_xlfn.IFERROR(IF(Simulador!$U$29=1,0,IF($AT24&lt;=0.01,0,IF(Simulador!$D$22&gt;0,Simulador!$D$22,Simulador!$O$24)*Simulador!$AA$43)),0)</f>
        <v>0</v>
      </c>
      <c r="BA24" s="73"/>
      <c r="BB24" s="70">
        <f t="shared" si="6"/>
        <v>0</v>
      </c>
      <c r="BC24">
        <f t="shared" si="20"/>
        <v>0</v>
      </c>
      <c r="BD24" s="431">
        <f t="shared" si="21"/>
      </c>
      <c r="BE24" s="432">
        <f t="shared" si="25"/>
        <v>0</v>
      </c>
      <c r="BF24" s="69">
        <v>10</v>
      </c>
      <c r="BG24" s="38"/>
      <c r="BJ24" s="69"/>
      <c r="BM24" s="432"/>
    </row>
    <row r="25" spans="1:65" ht="12">
      <c r="A25" s="531">
        <v>11</v>
      </c>
      <c r="B25" s="106">
        <f t="shared" si="22"/>
        <v>0</v>
      </c>
      <c r="C25" s="106"/>
      <c r="D25" s="107">
        <f>IF(B25+F25-D24&lt;=0,B25+F25,IF(AND(OR(Simulador!$U$38=2,Simulador!$U$38=7),J24=0),D24*(1+AA25),IF($AE$3=2,B25*AQ25,D24*(1+AA25))))</f>
        <v>0</v>
      </c>
      <c r="E25" s="107"/>
      <c r="F25" s="107">
        <f t="shared" si="0"/>
        <v>0</v>
      </c>
      <c r="G25" s="107"/>
      <c r="H25" s="107">
        <f t="shared" si="23"/>
        <v>0</v>
      </c>
      <c r="I25" s="108"/>
      <c r="J25" s="109"/>
      <c r="K25" s="108"/>
      <c r="L25" s="107">
        <f>IF(Simulador!$T$40=1,0,J25*Simulador!$W$38*1.16)</f>
        <v>0</v>
      </c>
      <c r="M25" s="107"/>
      <c r="N25" s="111"/>
      <c r="O25" s="13"/>
      <c r="P25" s="664">
        <f t="shared" si="1"/>
      </c>
      <c r="Q25" s="3"/>
      <c r="R25" s="107">
        <f t="shared" si="7"/>
        <v>0</v>
      </c>
      <c r="S25" s="107"/>
      <c r="T25" s="107">
        <f>_xlfn.IFERROR(IF(Simulador!$U$29=1,0,IF($B25&lt;=0,0,$B25*Simulador!$AA$42)),0)</f>
        <v>0</v>
      </c>
      <c r="U25" s="107"/>
      <c r="V25" s="107">
        <f>_xlfn.IFERROR(IF(Simulador!$U$29=1,0,IF($B25&lt;=0,0,IF(Simulador!$D$22&gt;0,Simulador!$D$22,Simulador!$O$24)*Simulador!$AA$43)),0)</f>
        <v>0</v>
      </c>
      <c r="W25" s="107"/>
      <c r="X25" s="107"/>
      <c r="Y25" s="107">
        <f t="shared" si="2"/>
        <v>0</v>
      </c>
      <c r="Z25" s="14"/>
      <c r="AA25" s="16"/>
      <c r="AB25" s="5"/>
      <c r="AC25" s="295">
        <v>0</v>
      </c>
      <c r="AD25" s="295">
        <v>11</v>
      </c>
      <c r="AE25" s="400">
        <f t="shared" si="8"/>
        <v>0</v>
      </c>
      <c r="AF25" s="279">
        <f t="shared" si="9"/>
        <v>0</v>
      </c>
      <c r="AG25" s="279">
        <f t="shared" si="10"/>
        <v>0</v>
      </c>
      <c r="AH25" s="418">
        <f t="shared" si="11"/>
        <v>0</v>
      </c>
      <c r="AI25" s="296">
        <f>IF(Simulador!$T$67=1,'Tabla de amortizacion'!AJ25,'Tabla de amortizacion'!AR25)</f>
        <v>0.1</v>
      </c>
      <c r="AJ25" s="297">
        <f>Simulador!$I$41</f>
        <v>0.1</v>
      </c>
      <c r="AK25" s="298">
        <f t="shared" si="12"/>
        <v>0</v>
      </c>
      <c r="AL25" s="297">
        <f t="shared" si="24"/>
        <v>0.0995</v>
      </c>
      <c r="AM25" s="520">
        <f t="shared" si="13"/>
        <v>0.0995</v>
      </c>
      <c r="AN25" s="520">
        <f t="shared" si="14"/>
        <v>0.0995</v>
      </c>
      <c r="AO25" s="520">
        <f t="shared" si="15"/>
        <v>0.0995</v>
      </c>
      <c r="AP25" s="299">
        <v>0</v>
      </c>
      <c r="AQ25" s="414">
        <f t="shared" si="16"/>
        <v>0</v>
      </c>
      <c r="AR25" s="300">
        <f>IF(AND(Simulador!$T$67=2,Simulador!$T$61=1),AL25,IF(AND(Simulador!$T$67=2,Simulador!$T$61=2),AM25,IF(AND(Simulador!$T$67=2,Simulador!$T$61=3),AN25,AO25)))</f>
        <v>0.0995</v>
      </c>
      <c r="AS25" s="281"/>
      <c r="AT25" s="70">
        <f t="shared" si="17"/>
        <v>0</v>
      </c>
      <c r="AU25" s="70">
        <f t="shared" si="18"/>
        <v>0</v>
      </c>
      <c r="AV25" s="71">
        <f t="shared" si="3"/>
        <v>0</v>
      </c>
      <c r="AW25" s="70">
        <f t="shared" si="4"/>
        <v>0</v>
      </c>
      <c r="AX25" s="70">
        <f t="shared" si="19"/>
        <v>0</v>
      </c>
      <c r="AY25" s="72">
        <f t="shared" si="5"/>
      </c>
      <c r="AZ25" s="70">
        <f>_xlfn.IFERROR(IF(Simulador!$U$29=1,0,IF($AT25&lt;=0.01,0,$AT25*Simulador!$AA$42)),0)+_xlfn.IFERROR(IF(Simulador!$U$29=1,0,IF($AT25&lt;=0.01,0,IF(Simulador!$D$22&gt;0,Simulador!$D$22,Simulador!$O$24)*Simulador!$AA$43)),0)</f>
        <v>0</v>
      </c>
      <c r="BA25" s="73"/>
      <c r="BB25" s="70">
        <f t="shared" si="6"/>
        <v>0</v>
      </c>
      <c r="BC25">
        <f t="shared" si="20"/>
        <v>0</v>
      </c>
      <c r="BD25" s="431">
        <f t="shared" si="21"/>
      </c>
      <c r="BE25" s="432">
        <f t="shared" si="25"/>
        <v>0</v>
      </c>
      <c r="BF25" s="69">
        <v>11</v>
      </c>
      <c r="BG25" s="38"/>
      <c r="BJ25" s="69"/>
      <c r="BM25" s="432"/>
    </row>
    <row r="26" spans="1:65" ht="12">
      <c r="A26" s="531">
        <v>12</v>
      </c>
      <c r="B26" s="106">
        <f t="shared" si="22"/>
        <v>0</v>
      </c>
      <c r="C26" s="106"/>
      <c r="D26" s="107">
        <f>IF(B26+F26-D25&lt;=0,B26+F26,IF(AND(OR(Simulador!$U$38=2,Simulador!$U$38=7),J25=0),D25*(1+AA26),IF($AE$3=2,B26*AQ26,D25*(1+AA26))))</f>
        <v>0</v>
      </c>
      <c r="E26" s="107"/>
      <c r="F26" s="107">
        <f t="shared" si="0"/>
        <v>0</v>
      </c>
      <c r="G26" s="107"/>
      <c r="H26" s="107">
        <f t="shared" si="23"/>
        <v>0</v>
      </c>
      <c r="I26" s="108"/>
      <c r="J26" s="109"/>
      <c r="K26" s="108"/>
      <c r="L26" s="107">
        <f>IF(Simulador!$T$40=1,0,J26*Simulador!$W$38*1.16)</f>
        <v>0</v>
      </c>
      <c r="M26" s="107"/>
      <c r="N26" s="110">
        <f>IF(B26-H26=0,0,N24)</f>
        <v>0</v>
      </c>
      <c r="O26" s="13"/>
      <c r="P26" s="664">
        <f t="shared" si="1"/>
      </c>
      <c r="Q26" s="3"/>
      <c r="R26" s="107">
        <f t="shared" si="7"/>
        <v>0</v>
      </c>
      <c r="S26" s="107"/>
      <c r="T26" s="107">
        <f>_xlfn.IFERROR(IF(Simulador!$U$29=1,0,IF($B26&lt;=0,0,$B26*Simulador!$AA$42)),0)</f>
        <v>0</v>
      </c>
      <c r="U26" s="107"/>
      <c r="V26" s="107">
        <f>_xlfn.IFERROR(IF(Simulador!$U$29=1,0,IF($B26&lt;=0,0,IF(Simulador!$D$22&gt;0,Simulador!$D$22,Simulador!$O$24)*Simulador!$AA$43)),0)</f>
        <v>0</v>
      </c>
      <c r="W26" s="107"/>
      <c r="X26" s="107"/>
      <c r="Y26" s="107">
        <f t="shared" si="2"/>
        <v>0</v>
      </c>
      <c r="Z26" s="14"/>
      <c r="AA26" s="16"/>
      <c r="AB26" s="5"/>
      <c r="AC26" s="295">
        <v>1</v>
      </c>
      <c r="AD26" s="295">
        <v>0</v>
      </c>
      <c r="AE26" s="400">
        <f t="shared" si="8"/>
        <v>0</v>
      </c>
      <c r="AF26" s="279">
        <f t="shared" si="9"/>
        <v>0</v>
      </c>
      <c r="AG26" s="279">
        <f t="shared" si="10"/>
        <v>0</v>
      </c>
      <c r="AH26" s="418">
        <f t="shared" si="11"/>
        <v>0</v>
      </c>
      <c r="AI26" s="296">
        <f>IF(Simulador!$T$67=1,'Tabla de amortizacion'!AJ26,'Tabla de amortizacion'!AR26)</f>
        <v>0.1</v>
      </c>
      <c r="AJ26" s="297">
        <f>Simulador!$I$41</f>
        <v>0.1</v>
      </c>
      <c r="AK26" s="298">
        <f t="shared" si="12"/>
        <v>0</v>
      </c>
      <c r="AL26" s="297">
        <f t="shared" si="24"/>
        <v>0.0995</v>
      </c>
      <c r="AM26" s="520">
        <f t="shared" si="13"/>
        <v>0.0995</v>
      </c>
      <c r="AN26" s="520">
        <f t="shared" si="14"/>
        <v>0.0995</v>
      </c>
      <c r="AO26" s="520">
        <f t="shared" si="15"/>
        <v>0.0995</v>
      </c>
      <c r="AP26" s="299">
        <v>0</v>
      </c>
      <c r="AQ26" s="414">
        <f t="shared" si="16"/>
        <v>0</v>
      </c>
      <c r="AR26" s="300">
        <f>IF(AND(Simulador!$T$67=2,Simulador!$T$61=1),AL26,IF(AND(Simulador!$T$67=2,Simulador!$T$61=2),AM26,IF(AND(Simulador!$T$67=2,Simulador!$T$61=3),AN26,AO26)))</f>
        <v>0.0995</v>
      </c>
      <c r="AS26" s="281"/>
      <c r="AT26" s="70">
        <f t="shared" si="17"/>
        <v>0</v>
      </c>
      <c r="AU26" s="70">
        <f t="shared" si="18"/>
        <v>0</v>
      </c>
      <c r="AV26" s="71">
        <f t="shared" si="3"/>
        <v>0</v>
      </c>
      <c r="AW26" s="70">
        <f t="shared" si="4"/>
        <v>0</v>
      </c>
      <c r="AX26" s="70">
        <f t="shared" si="19"/>
        <v>0</v>
      </c>
      <c r="AY26" s="72">
        <f t="shared" si="5"/>
      </c>
      <c r="AZ26" s="70">
        <f>_xlfn.IFERROR(IF(Simulador!$U$29=1,0,IF($AT26&lt;=0.01,0,$AT26*Simulador!$AA$42)),0)+_xlfn.IFERROR(IF(Simulador!$U$29=1,0,IF($AT26&lt;=0.01,0,IF(Simulador!$D$22&gt;0,Simulador!$D$22,Simulador!$O$24)*Simulador!$AA$43)),0)</f>
        <v>0</v>
      </c>
      <c r="BA26" s="73"/>
      <c r="BB26" s="70">
        <f t="shared" si="6"/>
        <v>0</v>
      </c>
      <c r="BC26">
        <f t="shared" si="20"/>
        <v>0</v>
      </c>
      <c r="BD26" s="431">
        <f t="shared" si="21"/>
      </c>
      <c r="BE26" s="432">
        <f t="shared" si="25"/>
        <v>0</v>
      </c>
      <c r="BF26" s="69">
        <v>12</v>
      </c>
      <c r="BG26" s="38"/>
      <c r="BJ26" s="69"/>
      <c r="BM26" s="432"/>
    </row>
    <row r="27" spans="1:65" ht="12">
      <c r="A27" s="531">
        <v>13</v>
      </c>
      <c r="B27" s="106">
        <f t="shared" si="22"/>
        <v>0</v>
      </c>
      <c r="C27" s="106"/>
      <c r="D27" s="107">
        <f>IF(B27+F27-D26&lt;=0,B27+F27,IF(AND(OR(Simulador!$U$38=2,Simulador!$U$38=7),J26=0),D26*(1+AA27),IF($AE$3=2,B27*AQ27,D26*(1+AA27))))</f>
        <v>0</v>
      </c>
      <c r="E27" s="107"/>
      <c r="F27" s="107">
        <f t="shared" si="0"/>
        <v>0</v>
      </c>
      <c r="G27" s="107"/>
      <c r="H27" s="107">
        <f t="shared" si="23"/>
        <v>0</v>
      </c>
      <c r="I27" s="108"/>
      <c r="J27" s="109"/>
      <c r="K27" s="108"/>
      <c r="L27" s="107">
        <f>IF(Simulador!$T$40=1,0,J27*Simulador!$W$38*1.16)</f>
        <v>0</v>
      </c>
      <c r="M27" s="107"/>
      <c r="N27" s="111"/>
      <c r="O27" s="13"/>
      <c r="P27" s="664">
        <f t="shared" si="1"/>
      </c>
      <c r="Q27" s="3"/>
      <c r="R27" s="107">
        <f t="shared" si="7"/>
        <v>0</v>
      </c>
      <c r="S27" s="107"/>
      <c r="T27" s="107">
        <f>_xlfn.IFERROR(IF(Simulador!$U$29=1,0,IF($B27&lt;=0,0,$B27*Simulador!$AA$42)),0)</f>
        <v>0</v>
      </c>
      <c r="U27" s="107"/>
      <c r="V27" s="107">
        <f>_xlfn.IFERROR(IF(Simulador!$U$29=1,0,IF($B27&lt;=0,0,IF(Simulador!$D$22&gt;0,Simulador!$D$22,Simulador!$O$24)*Simulador!$AA$43)),0)</f>
        <v>0</v>
      </c>
      <c r="W27" s="107"/>
      <c r="X27" s="107"/>
      <c r="Y27" s="107">
        <f t="shared" si="2"/>
        <v>0</v>
      </c>
      <c r="Z27" s="14"/>
      <c r="AA27" s="19">
        <f>IF(B27&lt;=0,0,Simulador!$I$42)</f>
        <v>0</v>
      </c>
      <c r="AB27" s="11"/>
      <c r="AC27" s="295">
        <v>1</v>
      </c>
      <c r="AD27" s="295">
        <v>1</v>
      </c>
      <c r="AE27" s="400">
        <f t="shared" si="8"/>
        <v>0</v>
      </c>
      <c r="AF27" s="279">
        <f t="shared" si="9"/>
        <v>0</v>
      </c>
      <c r="AG27" s="279">
        <f t="shared" si="10"/>
        <v>0</v>
      </c>
      <c r="AH27" s="418">
        <f t="shared" si="11"/>
        <v>0</v>
      </c>
      <c r="AI27" s="296">
        <f>IF(Simulador!$T$67=1,'Tabla de amortizacion'!AJ27,'Tabla de amortizacion'!AR27)</f>
        <v>0.1</v>
      </c>
      <c r="AJ27" s="297">
        <f>Simulador!$I$41</f>
        <v>0.1</v>
      </c>
      <c r="AK27" s="298">
        <f t="shared" si="12"/>
        <v>0</v>
      </c>
      <c r="AL27" s="562">
        <f>AL26-0.2%</f>
        <v>0.0975</v>
      </c>
      <c r="AM27" s="563">
        <f>AM26-0.2%</f>
        <v>0.0975</v>
      </c>
      <c r="AN27" s="563">
        <f>AN26-0.2%</f>
        <v>0.0975</v>
      </c>
      <c r="AO27" s="563">
        <f>AO26-0.2%</f>
        <v>0.0975</v>
      </c>
      <c r="AP27" s="299">
        <v>0</v>
      </c>
      <c r="AQ27" s="414">
        <f t="shared" si="16"/>
        <v>0</v>
      </c>
      <c r="AR27" s="300">
        <f>IF(AND(Simulador!$T$67=2,Simulador!$T$61=1),AL27,IF(AND(Simulador!$T$67=2,Simulador!$T$61=2),AM27,IF(AND(Simulador!$T$67=2,Simulador!$T$61=3),AN27,AO27)))</f>
        <v>0.0975</v>
      </c>
      <c r="AS27" s="281"/>
      <c r="AT27" s="70">
        <f t="shared" si="17"/>
        <v>0</v>
      </c>
      <c r="AU27" s="70">
        <f t="shared" si="18"/>
        <v>0</v>
      </c>
      <c r="AV27" s="71">
        <f t="shared" si="3"/>
        <v>0</v>
      </c>
      <c r="AW27" s="70">
        <f t="shared" si="4"/>
        <v>0</v>
      </c>
      <c r="AX27" s="70">
        <f t="shared" si="19"/>
        <v>0</v>
      </c>
      <c r="AY27" s="72">
        <f t="shared" si="5"/>
      </c>
      <c r="AZ27" s="70">
        <f>_xlfn.IFERROR(IF(Simulador!$U$29=1,0,IF($AT27&lt;=0.01,0,$AT27*Simulador!$AA$42)),0)+_xlfn.IFERROR(IF(Simulador!$U$29=1,0,IF($AT27&lt;=0.01,0,IF(Simulador!$D$22&gt;0,Simulador!$D$22,Simulador!$O$24)*Simulador!$AA$43)),0)</f>
        <v>0</v>
      </c>
      <c r="BA27" s="73">
        <f>IF(AT27&lt;=0,0,Simulador!$I$42)</f>
        <v>0</v>
      </c>
      <c r="BB27" s="70">
        <f t="shared" si="6"/>
        <v>0</v>
      </c>
      <c r="BC27">
        <f t="shared" si="20"/>
        <v>0</v>
      </c>
      <c r="BD27" s="431">
        <f t="shared" si="21"/>
      </c>
      <c r="BE27" s="432">
        <f t="shared" si="25"/>
        <v>0</v>
      </c>
      <c r="BF27" s="69">
        <v>13</v>
      </c>
      <c r="BG27" s="38"/>
      <c r="BJ27" s="69"/>
      <c r="BM27" s="432"/>
    </row>
    <row r="28" spans="1:65" ht="12">
      <c r="A28" s="531">
        <v>14</v>
      </c>
      <c r="B28" s="106">
        <f t="shared" si="22"/>
        <v>0</v>
      </c>
      <c r="C28" s="106"/>
      <c r="D28" s="107">
        <f>IF(B28+F28-D27&lt;=0,B28+F28,IF(AND(OR(Simulador!$U$38=2,Simulador!$U$38=7),J27=0),D27*(1+AA28),IF($AE$3=2,B28*AQ28,D27*(1+AA28))))</f>
        <v>0</v>
      </c>
      <c r="E28" s="107"/>
      <c r="F28" s="107">
        <f t="shared" si="0"/>
        <v>0</v>
      </c>
      <c r="G28" s="107"/>
      <c r="H28" s="107">
        <f t="shared" si="23"/>
        <v>0</v>
      </c>
      <c r="I28" s="108"/>
      <c r="J28" s="109"/>
      <c r="K28" s="108"/>
      <c r="L28" s="107">
        <f>IF(Simulador!$T$40=1,0,J28*Simulador!$W$38*1.16)</f>
        <v>0</v>
      </c>
      <c r="M28" s="107"/>
      <c r="N28" s="110">
        <f>IF(B28-H28=0,0,N26*(1+(Simulador!$AF$76)))</f>
        <v>0</v>
      </c>
      <c r="O28" s="13"/>
      <c r="P28" s="664">
        <f t="shared" si="1"/>
      </c>
      <c r="Q28" s="3"/>
      <c r="R28" s="107">
        <f t="shared" si="7"/>
        <v>0</v>
      </c>
      <c r="S28" s="107"/>
      <c r="T28" s="107">
        <f>_xlfn.IFERROR(IF(Simulador!$U$29=1,0,IF($B28&lt;=0,0,$B28*Simulador!$AA$42)),0)</f>
        <v>0</v>
      </c>
      <c r="U28" s="107"/>
      <c r="V28" s="107">
        <f>_xlfn.IFERROR(IF(Simulador!$U$29=1,0,IF($B28&lt;=0,0,IF(Simulador!$D$22&gt;0,Simulador!$D$22,Simulador!$O$24)*Simulador!$AA$43)),0)</f>
        <v>0</v>
      </c>
      <c r="W28" s="107"/>
      <c r="X28" s="107"/>
      <c r="Y28" s="107">
        <f t="shared" si="2"/>
        <v>0</v>
      </c>
      <c r="Z28" s="14"/>
      <c r="AA28" s="16"/>
      <c r="AB28" s="20"/>
      <c r="AC28" s="295">
        <v>1</v>
      </c>
      <c r="AD28" s="301">
        <v>2</v>
      </c>
      <c r="AE28" s="400">
        <f t="shared" si="8"/>
        <v>0</v>
      </c>
      <c r="AF28" s="279">
        <f t="shared" si="9"/>
        <v>0</v>
      </c>
      <c r="AG28" s="279">
        <f t="shared" si="10"/>
        <v>0</v>
      </c>
      <c r="AH28" s="418">
        <f t="shared" si="11"/>
        <v>0</v>
      </c>
      <c r="AI28" s="296">
        <f>IF(Simulador!$T$67=1,'Tabla de amortizacion'!AJ28,'Tabla de amortizacion'!AR28)</f>
        <v>0.1</v>
      </c>
      <c r="AJ28" s="297">
        <f>Simulador!$I$41</f>
        <v>0.1</v>
      </c>
      <c r="AK28" s="298">
        <f t="shared" si="12"/>
        <v>0</v>
      </c>
      <c r="AL28" s="297">
        <f>AL27</f>
        <v>0.0975</v>
      </c>
      <c r="AM28" s="520">
        <f aca="true" t="shared" si="26" ref="AM28:AM38">AM27</f>
        <v>0.0975</v>
      </c>
      <c r="AN28" s="520">
        <f aca="true" t="shared" si="27" ref="AN28:AN38">AN27</f>
        <v>0.0975</v>
      </c>
      <c r="AO28" s="520">
        <f aca="true" t="shared" si="28" ref="AO28:AO38">AO27</f>
        <v>0.0975</v>
      </c>
      <c r="AP28" s="299">
        <v>0</v>
      </c>
      <c r="AQ28" s="414">
        <f t="shared" si="16"/>
        <v>0</v>
      </c>
      <c r="AR28" s="300">
        <f>IF(AND(Simulador!$T$67=2,Simulador!$T$61=1),AL28,IF(AND(Simulador!$T$67=2,Simulador!$T$61=2),AM28,IF(AND(Simulador!$T$67=2,Simulador!$T$61=3),AN28,AO28)))</f>
        <v>0.0975</v>
      </c>
      <c r="AS28" s="281"/>
      <c r="AT28" s="70">
        <f t="shared" si="17"/>
        <v>0</v>
      </c>
      <c r="AU28" s="70">
        <f t="shared" si="18"/>
        <v>0</v>
      </c>
      <c r="AV28" s="71">
        <f t="shared" si="3"/>
        <v>0</v>
      </c>
      <c r="AW28" s="70">
        <f t="shared" si="4"/>
        <v>0</v>
      </c>
      <c r="AX28" s="70">
        <f t="shared" si="19"/>
        <v>0</v>
      </c>
      <c r="AY28" s="72">
        <f t="shared" si="5"/>
      </c>
      <c r="AZ28" s="70">
        <f>_xlfn.IFERROR(IF(Simulador!$U$29=1,0,IF($AT28&lt;=0.01,0,$AT28*Simulador!$AA$42)),0)+_xlfn.IFERROR(IF(Simulador!$U$29=1,0,IF($AT28&lt;=0.01,0,IF(Simulador!$D$22&gt;0,Simulador!$D$22,Simulador!$O$24)*Simulador!$AA$43)),0)</f>
        <v>0</v>
      </c>
      <c r="BA28" s="73"/>
      <c r="BB28" s="70">
        <f t="shared" si="6"/>
        <v>0</v>
      </c>
      <c r="BC28">
        <f t="shared" si="20"/>
        <v>0</v>
      </c>
      <c r="BD28" s="431">
        <f t="shared" si="21"/>
      </c>
      <c r="BE28" s="432">
        <f t="shared" si="25"/>
        <v>0</v>
      </c>
      <c r="BF28" s="69">
        <v>14</v>
      </c>
      <c r="BG28" s="38"/>
      <c r="BJ28" s="69"/>
      <c r="BM28" s="432"/>
    </row>
    <row r="29" spans="1:65" ht="12">
      <c r="A29" s="531">
        <v>15</v>
      </c>
      <c r="B29" s="106">
        <f t="shared" si="22"/>
        <v>0</v>
      </c>
      <c r="C29" s="106"/>
      <c r="D29" s="107">
        <f>IF(B29+F29-D28&lt;=0,B29+F29,IF(AND(OR(Simulador!$U$38=2,Simulador!$U$38=7),J28=0),D28*(1+AA29),IF($AE$3=2,B29*AQ29,D28*(1+AA29))))</f>
        <v>0</v>
      </c>
      <c r="E29" s="107"/>
      <c r="F29" s="107">
        <f t="shared" si="0"/>
        <v>0</v>
      </c>
      <c r="G29" s="107"/>
      <c r="H29" s="107">
        <f t="shared" si="23"/>
        <v>0</v>
      </c>
      <c r="I29" s="108"/>
      <c r="J29" s="109"/>
      <c r="K29" s="108"/>
      <c r="L29" s="107">
        <f>IF(Simulador!$T$40=1,0,J29*Simulador!$W$38*1.16)</f>
        <v>0</v>
      </c>
      <c r="M29" s="107"/>
      <c r="N29" s="111"/>
      <c r="O29" s="13"/>
      <c r="P29" s="664">
        <f t="shared" si="1"/>
      </c>
      <c r="Q29" s="3"/>
      <c r="R29" s="107">
        <f t="shared" si="7"/>
        <v>0</v>
      </c>
      <c r="S29" s="107"/>
      <c r="T29" s="107">
        <f>_xlfn.IFERROR(IF(Simulador!$U$29=1,0,IF($B29&lt;=0,0,$B29*Simulador!$AA$42)),0)</f>
        <v>0</v>
      </c>
      <c r="U29" s="107"/>
      <c r="V29" s="107">
        <f>_xlfn.IFERROR(IF(Simulador!$U$29=1,0,IF($B29&lt;=0,0,IF(Simulador!$D$22&gt;0,Simulador!$D$22,Simulador!$O$24)*Simulador!$AA$43)),0)</f>
        <v>0</v>
      </c>
      <c r="W29" s="107"/>
      <c r="X29" s="107"/>
      <c r="Y29" s="107">
        <f t="shared" si="2"/>
        <v>0</v>
      </c>
      <c r="Z29" s="14"/>
      <c r="AA29" s="16"/>
      <c r="AB29" s="20"/>
      <c r="AC29" s="295">
        <v>1</v>
      </c>
      <c r="AD29" s="301">
        <v>3</v>
      </c>
      <c r="AE29" s="400">
        <f t="shared" si="8"/>
        <v>0</v>
      </c>
      <c r="AF29" s="279">
        <f t="shared" si="9"/>
        <v>0</v>
      </c>
      <c r="AG29" s="279">
        <f t="shared" si="10"/>
        <v>0</v>
      </c>
      <c r="AH29" s="418">
        <f t="shared" si="11"/>
        <v>0</v>
      </c>
      <c r="AI29" s="296">
        <f>IF(Simulador!$T$67=1,'Tabla de amortizacion'!AJ29,'Tabla de amortizacion'!AR29)</f>
        <v>0.1</v>
      </c>
      <c r="AJ29" s="297">
        <f>Simulador!$I$41</f>
        <v>0.1</v>
      </c>
      <c r="AK29" s="298">
        <f t="shared" si="12"/>
        <v>0</v>
      </c>
      <c r="AL29" s="297">
        <f aca="true" t="shared" si="29" ref="AL29:AL38">AL28</f>
        <v>0.0975</v>
      </c>
      <c r="AM29" s="520">
        <f t="shared" si="26"/>
        <v>0.0975</v>
      </c>
      <c r="AN29" s="520">
        <f t="shared" si="27"/>
        <v>0.0975</v>
      </c>
      <c r="AO29" s="520">
        <f t="shared" si="28"/>
        <v>0.0975</v>
      </c>
      <c r="AP29" s="299">
        <v>0</v>
      </c>
      <c r="AQ29" s="414">
        <f t="shared" si="16"/>
        <v>0</v>
      </c>
      <c r="AR29" s="300">
        <f>IF(AND(Simulador!$T$67=2,Simulador!$T$61=1),AL29,IF(AND(Simulador!$T$67=2,Simulador!$T$61=2),AM29,IF(AND(Simulador!$T$67=2,Simulador!$T$61=3),AN29,AO29)))</f>
        <v>0.0975</v>
      </c>
      <c r="AS29" s="281"/>
      <c r="AT29" s="70">
        <f aca="true" t="shared" si="30" ref="AT29:AT92">IF(AX28&lt;=0,0,AX28)</f>
        <v>0</v>
      </c>
      <c r="AU29" s="70">
        <f t="shared" si="18"/>
        <v>0</v>
      </c>
      <c r="AV29" s="71">
        <f t="shared" si="3"/>
        <v>0</v>
      </c>
      <c r="AW29" s="70">
        <f t="shared" si="4"/>
        <v>0</v>
      </c>
      <c r="AX29" s="70">
        <f t="shared" si="19"/>
        <v>0</v>
      </c>
      <c r="AY29" s="72">
        <f t="shared" si="5"/>
      </c>
      <c r="AZ29" s="70">
        <f>_xlfn.IFERROR(IF(Simulador!$U$29=1,0,IF($AT29&lt;=0.01,0,$AT29*Simulador!$AA$42)),0)+_xlfn.IFERROR(IF(Simulador!$U$29=1,0,IF($AT29&lt;=0.01,0,IF(Simulador!$D$22&gt;0,Simulador!$D$22,Simulador!$O$24)*Simulador!$AA$43)),0)</f>
        <v>0</v>
      </c>
      <c r="BA29" s="73"/>
      <c r="BB29" s="70">
        <f t="shared" si="6"/>
        <v>0</v>
      </c>
      <c r="BC29">
        <f t="shared" si="20"/>
        <v>0</v>
      </c>
      <c r="BD29" s="431">
        <f t="shared" si="21"/>
      </c>
      <c r="BE29" s="432">
        <f t="shared" si="25"/>
        <v>0</v>
      </c>
      <c r="BF29" s="69">
        <v>15</v>
      </c>
      <c r="BG29" s="38"/>
      <c r="BJ29" s="69"/>
      <c r="BM29" s="432"/>
    </row>
    <row r="30" spans="1:65" ht="12">
      <c r="A30" s="532">
        <v>16</v>
      </c>
      <c r="B30" s="106">
        <f t="shared" si="22"/>
        <v>0</v>
      </c>
      <c r="C30" s="106"/>
      <c r="D30" s="107">
        <f>IF(B30+F30-D29&lt;=0,B30+F30,IF(AND(OR(Simulador!$U$38=2,Simulador!$U$38=7),J29=0),D29*(1+AA30),IF($AE$3=2,B30*AQ30,D29*(1+AA30))))</f>
        <v>0</v>
      </c>
      <c r="E30" s="107"/>
      <c r="F30" s="107">
        <f t="shared" si="0"/>
        <v>0</v>
      </c>
      <c r="G30" s="107"/>
      <c r="H30" s="107">
        <f t="shared" si="23"/>
        <v>0</v>
      </c>
      <c r="I30" s="108"/>
      <c r="J30" s="109"/>
      <c r="K30" s="108"/>
      <c r="L30" s="107">
        <f>IF(Simulador!$T$40=1,0,J30*Simulador!$W$38*1.16)</f>
        <v>0</v>
      </c>
      <c r="M30" s="107"/>
      <c r="N30" s="110">
        <f>IF(B30-H30=0,0,N28)</f>
        <v>0</v>
      </c>
      <c r="O30" s="13"/>
      <c r="P30" s="664">
        <f t="shared" si="1"/>
      </c>
      <c r="Q30" s="3"/>
      <c r="R30" s="107">
        <f t="shared" si="7"/>
        <v>0</v>
      </c>
      <c r="S30" s="107"/>
      <c r="T30" s="107">
        <f>_xlfn.IFERROR(IF(Simulador!$U$29=1,0,IF($B30&lt;=0,0,$B30*Simulador!$AA$42)),0)</f>
        <v>0</v>
      </c>
      <c r="U30" s="107"/>
      <c r="V30" s="107">
        <f>_xlfn.IFERROR(IF(Simulador!$U$29=1,0,IF($B30&lt;=0,0,IF(Simulador!$D$22&gt;0,Simulador!$D$22,Simulador!$O$24)*Simulador!$AA$43)),0)</f>
        <v>0</v>
      </c>
      <c r="W30" s="107"/>
      <c r="X30" s="107"/>
      <c r="Y30" s="107">
        <f t="shared" si="2"/>
        <v>0</v>
      </c>
      <c r="Z30" s="14"/>
      <c r="AA30" s="21"/>
      <c r="AB30" s="22"/>
      <c r="AC30" s="295">
        <v>1</v>
      </c>
      <c r="AD30" s="295">
        <v>4</v>
      </c>
      <c r="AE30" s="400">
        <f t="shared" si="8"/>
        <v>0</v>
      </c>
      <c r="AF30" s="279">
        <f t="shared" si="9"/>
        <v>0</v>
      </c>
      <c r="AG30" s="279">
        <f t="shared" si="10"/>
        <v>0</v>
      </c>
      <c r="AH30" s="418">
        <f t="shared" si="11"/>
        <v>0</v>
      </c>
      <c r="AI30" s="296">
        <f>IF(Simulador!$T$67=1,'Tabla de amortizacion'!AJ30,'Tabla de amortizacion'!AR30)</f>
        <v>0.1</v>
      </c>
      <c r="AJ30" s="297">
        <f>Simulador!$I$41</f>
        <v>0.1</v>
      </c>
      <c r="AK30" s="298">
        <f t="shared" si="12"/>
        <v>0</v>
      </c>
      <c r="AL30" s="297">
        <f t="shared" si="29"/>
        <v>0.0975</v>
      </c>
      <c r="AM30" s="520">
        <f t="shared" si="26"/>
        <v>0.0975</v>
      </c>
      <c r="AN30" s="520">
        <f t="shared" si="27"/>
        <v>0.0975</v>
      </c>
      <c r="AO30" s="520">
        <f t="shared" si="28"/>
        <v>0.0975</v>
      </c>
      <c r="AP30" s="299">
        <v>0</v>
      </c>
      <c r="AQ30" s="414">
        <f t="shared" si="16"/>
        <v>0</v>
      </c>
      <c r="AR30" s="300">
        <f>IF(AND(Simulador!$T$67=2,Simulador!$T$61=1),AL30,IF(AND(Simulador!$T$67=2,Simulador!$T$61=2),AM30,IF(AND(Simulador!$T$67=2,Simulador!$T$61=3),AN30,AO30)))</f>
        <v>0.0975</v>
      </c>
      <c r="AS30" s="281"/>
      <c r="AT30" s="70">
        <f t="shared" si="30"/>
        <v>0</v>
      </c>
      <c r="AU30" s="70">
        <f t="shared" si="18"/>
        <v>0</v>
      </c>
      <c r="AV30" s="71">
        <f t="shared" si="3"/>
        <v>0</v>
      </c>
      <c r="AW30" s="70">
        <f t="shared" si="4"/>
        <v>0</v>
      </c>
      <c r="AX30" s="70">
        <f t="shared" si="19"/>
        <v>0</v>
      </c>
      <c r="AY30" s="72">
        <f t="shared" si="5"/>
      </c>
      <c r="AZ30" s="70">
        <f>_xlfn.IFERROR(IF(Simulador!$U$29=1,0,IF($AT30&lt;=0.01,0,$AT30*Simulador!$AA$42)),0)+_xlfn.IFERROR(IF(Simulador!$U$29=1,0,IF($AT30&lt;=0.01,0,IF(Simulador!$D$22&gt;0,Simulador!$D$22,Simulador!$O$24)*Simulador!$AA$43)),0)</f>
        <v>0</v>
      </c>
      <c r="BA30" s="73"/>
      <c r="BB30" s="70">
        <f t="shared" si="6"/>
        <v>0</v>
      </c>
      <c r="BC30">
        <f t="shared" si="20"/>
        <v>0</v>
      </c>
      <c r="BD30" s="431">
        <f t="shared" si="21"/>
      </c>
      <c r="BE30" s="432">
        <f t="shared" si="25"/>
        <v>0</v>
      </c>
      <c r="BF30" s="69">
        <v>16</v>
      </c>
      <c r="BG30" s="38"/>
      <c r="BJ30" s="69"/>
      <c r="BM30" s="432"/>
    </row>
    <row r="31" spans="1:65" ht="12">
      <c r="A31" s="531">
        <v>17</v>
      </c>
      <c r="B31" s="106">
        <f t="shared" si="22"/>
        <v>0</v>
      </c>
      <c r="C31" s="106"/>
      <c r="D31" s="107">
        <f>IF(B31+F31-D30&lt;=0,B31+F31,IF(AND(OR(Simulador!$U$38=2,Simulador!$U$38=7),J30=0),D30*(1+AA31),IF($AE$3=2,B31*AQ31,D30*(1+AA31))))</f>
        <v>0</v>
      </c>
      <c r="E31" s="107"/>
      <c r="F31" s="107">
        <f t="shared" si="0"/>
        <v>0</v>
      </c>
      <c r="G31" s="107"/>
      <c r="H31" s="107">
        <f t="shared" si="23"/>
        <v>0</v>
      </c>
      <c r="I31" s="108"/>
      <c r="J31" s="109"/>
      <c r="K31" s="108"/>
      <c r="L31" s="107">
        <f>IF(Simulador!$T$40=1,0,J31*Simulador!$W$38*1.16)</f>
        <v>0</v>
      </c>
      <c r="M31" s="107"/>
      <c r="N31" s="111"/>
      <c r="O31" s="13"/>
      <c r="P31" s="664">
        <f t="shared" si="1"/>
      </c>
      <c r="Q31" s="3"/>
      <c r="R31" s="107">
        <f t="shared" si="7"/>
        <v>0</v>
      </c>
      <c r="S31" s="107"/>
      <c r="T31" s="107">
        <f>_xlfn.IFERROR(IF(Simulador!$U$29=1,0,IF($B31&lt;=0,0,$B31*Simulador!$AA$42)),0)</f>
        <v>0</v>
      </c>
      <c r="U31" s="107"/>
      <c r="V31" s="107">
        <f>_xlfn.IFERROR(IF(Simulador!$U$29=1,0,IF($B31&lt;=0,0,IF(Simulador!$D$22&gt;0,Simulador!$D$22,Simulador!$O$24)*Simulador!$AA$43)),0)</f>
        <v>0</v>
      </c>
      <c r="W31" s="107"/>
      <c r="X31" s="107"/>
      <c r="Y31" s="107">
        <f t="shared" si="2"/>
        <v>0</v>
      </c>
      <c r="Z31" s="14"/>
      <c r="AA31" s="16"/>
      <c r="AB31" s="20"/>
      <c r="AC31" s="295">
        <v>1</v>
      </c>
      <c r="AD31" s="295">
        <v>5</v>
      </c>
      <c r="AE31" s="400">
        <f t="shared" si="8"/>
        <v>0</v>
      </c>
      <c r="AF31" s="279">
        <f t="shared" si="9"/>
        <v>0</v>
      </c>
      <c r="AG31" s="279">
        <f t="shared" si="10"/>
        <v>0</v>
      </c>
      <c r="AH31" s="418">
        <f t="shared" si="11"/>
        <v>0</v>
      </c>
      <c r="AI31" s="296">
        <f>IF(Simulador!$T$67=1,'Tabla de amortizacion'!AJ31,'Tabla de amortizacion'!AR31)</f>
        <v>0.1</v>
      </c>
      <c r="AJ31" s="297">
        <f>Simulador!$I$41</f>
        <v>0.1</v>
      </c>
      <c r="AK31" s="298">
        <f t="shared" si="12"/>
        <v>0</v>
      </c>
      <c r="AL31" s="297">
        <f t="shared" si="29"/>
        <v>0.0975</v>
      </c>
      <c r="AM31" s="520">
        <f t="shared" si="26"/>
        <v>0.0975</v>
      </c>
      <c r="AN31" s="520">
        <f t="shared" si="27"/>
        <v>0.0975</v>
      </c>
      <c r="AO31" s="520">
        <f t="shared" si="28"/>
        <v>0.0975</v>
      </c>
      <c r="AP31" s="299">
        <v>0</v>
      </c>
      <c r="AQ31" s="414">
        <f t="shared" si="16"/>
        <v>0</v>
      </c>
      <c r="AR31" s="300">
        <f>IF(AND(Simulador!$T$67=2,Simulador!$T$61=1),AL31,IF(AND(Simulador!$T$67=2,Simulador!$T$61=2),AM31,IF(AND(Simulador!$T$67=2,Simulador!$T$61=3),AN31,AO31)))</f>
        <v>0.0975</v>
      </c>
      <c r="AS31" s="281"/>
      <c r="AT31" s="70">
        <f t="shared" si="30"/>
        <v>0</v>
      </c>
      <c r="AU31" s="70">
        <f t="shared" si="18"/>
        <v>0</v>
      </c>
      <c r="AV31" s="71">
        <f t="shared" si="3"/>
        <v>0</v>
      </c>
      <c r="AW31" s="70">
        <f t="shared" si="4"/>
        <v>0</v>
      </c>
      <c r="AX31" s="70">
        <f t="shared" si="19"/>
        <v>0</v>
      </c>
      <c r="AY31" s="72">
        <f t="shared" si="5"/>
      </c>
      <c r="AZ31" s="70">
        <f>_xlfn.IFERROR(IF(Simulador!$U$29=1,0,IF($AT31&lt;=0.01,0,$AT31*Simulador!$AA$42)),0)+_xlfn.IFERROR(IF(Simulador!$U$29=1,0,IF($AT31&lt;=0.01,0,IF(Simulador!$D$22&gt;0,Simulador!$D$22,Simulador!$O$24)*Simulador!$AA$43)),0)</f>
        <v>0</v>
      </c>
      <c r="BA31" s="73"/>
      <c r="BB31" s="70">
        <f t="shared" si="6"/>
        <v>0</v>
      </c>
      <c r="BC31">
        <f t="shared" si="20"/>
        <v>0</v>
      </c>
      <c r="BD31" s="431">
        <f t="shared" si="21"/>
      </c>
      <c r="BE31" s="432">
        <f t="shared" si="25"/>
        <v>0</v>
      </c>
      <c r="BF31" s="69">
        <v>17</v>
      </c>
      <c r="BG31" s="38"/>
      <c r="BJ31" s="69"/>
      <c r="BM31" s="432"/>
    </row>
    <row r="32" spans="1:65" ht="12">
      <c r="A32" s="531">
        <v>18</v>
      </c>
      <c r="B32" s="106">
        <f t="shared" si="22"/>
        <v>0</v>
      </c>
      <c r="C32" s="106"/>
      <c r="D32" s="107">
        <f>IF(B32+F32-D31&lt;=0,B32+F32,IF(AND(OR(Simulador!$U$38=2,Simulador!$U$38=7),J31=0),D31*(1+AA32),IF($AE$3=2,B32*AQ32,D31*(1+AA32))))</f>
        <v>0</v>
      </c>
      <c r="E32" s="107"/>
      <c r="F32" s="107">
        <f t="shared" si="0"/>
        <v>0</v>
      </c>
      <c r="G32" s="107"/>
      <c r="H32" s="107">
        <f t="shared" si="23"/>
        <v>0</v>
      </c>
      <c r="I32" s="108"/>
      <c r="J32" s="109"/>
      <c r="K32" s="108"/>
      <c r="L32" s="107">
        <f>IF(Simulador!$T$40=1,0,J32*Simulador!$W$38*1.16)</f>
        <v>0</v>
      </c>
      <c r="M32" s="107"/>
      <c r="N32" s="110">
        <f>IF(B32-H32=0,0,N30)</f>
        <v>0</v>
      </c>
      <c r="O32" s="13"/>
      <c r="P32" s="664">
        <f t="shared" si="1"/>
      </c>
      <c r="Q32" s="3"/>
      <c r="R32" s="107">
        <f t="shared" si="7"/>
        <v>0</v>
      </c>
      <c r="S32" s="107"/>
      <c r="T32" s="107">
        <f>_xlfn.IFERROR(IF(Simulador!$U$29=1,0,IF($B32&lt;=0,0,$B32*Simulador!$AA$42)),0)</f>
        <v>0</v>
      </c>
      <c r="U32" s="107"/>
      <c r="V32" s="107">
        <f>_xlfn.IFERROR(IF(Simulador!$U$29=1,0,IF($B32&lt;=0,0,IF(Simulador!$D$22&gt;0,Simulador!$D$22,Simulador!$O$24)*Simulador!$AA$43)),0)</f>
        <v>0</v>
      </c>
      <c r="W32" s="107"/>
      <c r="X32" s="107"/>
      <c r="Y32" s="107">
        <f t="shared" si="2"/>
        <v>0</v>
      </c>
      <c r="Z32" s="14"/>
      <c r="AA32" s="16"/>
      <c r="AB32" s="5"/>
      <c r="AC32" s="295">
        <v>1</v>
      </c>
      <c r="AD32" s="295">
        <v>6</v>
      </c>
      <c r="AE32" s="400">
        <f t="shared" si="8"/>
        <v>0</v>
      </c>
      <c r="AF32" s="279">
        <f t="shared" si="9"/>
        <v>0</v>
      </c>
      <c r="AG32" s="279">
        <f t="shared" si="10"/>
        <v>0</v>
      </c>
      <c r="AH32" s="418">
        <f t="shared" si="11"/>
        <v>0</v>
      </c>
      <c r="AI32" s="296">
        <f>IF(Simulador!$T$67=1,'Tabla de amortizacion'!AJ32,'Tabla de amortizacion'!AR32)</f>
        <v>0.1</v>
      </c>
      <c r="AJ32" s="297">
        <f>Simulador!$I$41</f>
        <v>0.1</v>
      </c>
      <c r="AK32" s="298">
        <f t="shared" si="12"/>
        <v>0</v>
      </c>
      <c r="AL32" s="297">
        <f t="shared" si="29"/>
        <v>0.0975</v>
      </c>
      <c r="AM32" s="520">
        <f t="shared" si="26"/>
        <v>0.0975</v>
      </c>
      <c r="AN32" s="520">
        <f t="shared" si="27"/>
        <v>0.0975</v>
      </c>
      <c r="AO32" s="520">
        <f t="shared" si="28"/>
        <v>0.0975</v>
      </c>
      <c r="AP32" s="299">
        <v>0</v>
      </c>
      <c r="AQ32" s="414">
        <f t="shared" si="16"/>
        <v>0</v>
      </c>
      <c r="AR32" s="300">
        <f>IF(AND(Simulador!$T$67=2,Simulador!$T$61=1),AL32,IF(AND(Simulador!$T$67=2,Simulador!$T$61=2),AM32,IF(AND(Simulador!$T$67=2,Simulador!$T$61=3),AN32,AO32)))</f>
        <v>0.0975</v>
      </c>
      <c r="AS32" s="281"/>
      <c r="AT32" s="70">
        <f t="shared" si="30"/>
        <v>0</v>
      </c>
      <c r="AU32" s="70">
        <f t="shared" si="18"/>
        <v>0</v>
      </c>
      <c r="AV32" s="71">
        <f t="shared" si="3"/>
        <v>0</v>
      </c>
      <c r="AW32" s="70">
        <f t="shared" si="4"/>
        <v>0</v>
      </c>
      <c r="AX32" s="70">
        <f t="shared" si="19"/>
        <v>0</v>
      </c>
      <c r="AY32" s="72">
        <f t="shared" si="5"/>
      </c>
      <c r="AZ32" s="70">
        <f>_xlfn.IFERROR(IF(Simulador!$U$29=1,0,IF($AT32&lt;=0.01,0,$AT32*Simulador!$AA$42)),0)+_xlfn.IFERROR(IF(Simulador!$U$29=1,0,IF($AT32&lt;=0.01,0,IF(Simulador!$D$22&gt;0,Simulador!$D$22,Simulador!$O$24)*Simulador!$AA$43)),0)</f>
        <v>0</v>
      </c>
      <c r="BA32" s="73"/>
      <c r="BB32" s="70">
        <f t="shared" si="6"/>
        <v>0</v>
      </c>
      <c r="BC32">
        <f t="shared" si="20"/>
        <v>0</v>
      </c>
      <c r="BD32" s="431">
        <f t="shared" si="21"/>
      </c>
      <c r="BE32" s="432">
        <f t="shared" si="25"/>
        <v>0</v>
      </c>
      <c r="BF32" s="69">
        <v>18</v>
      </c>
      <c r="BG32" s="38"/>
      <c r="BJ32" s="69"/>
      <c r="BM32" s="432"/>
    </row>
    <row r="33" spans="1:65" ht="12">
      <c r="A33" s="531">
        <v>19</v>
      </c>
      <c r="B33" s="106">
        <f t="shared" si="22"/>
        <v>0</v>
      </c>
      <c r="C33" s="106"/>
      <c r="D33" s="107">
        <f>IF(B33+F33-D32&lt;=0,B33+F33,IF(AND(OR(Simulador!$U$38=2,Simulador!$U$38=7),J32=0),D32*(1+AA33),IF($AE$3=2,B33*AQ33,D32*(1+AA33))))</f>
        <v>0</v>
      </c>
      <c r="E33" s="107"/>
      <c r="F33" s="107">
        <f t="shared" si="0"/>
        <v>0</v>
      </c>
      <c r="G33" s="107"/>
      <c r="H33" s="107">
        <f t="shared" si="23"/>
        <v>0</v>
      </c>
      <c r="I33" s="108"/>
      <c r="J33" s="109"/>
      <c r="K33" s="108"/>
      <c r="L33" s="107">
        <f>IF(Simulador!$T$40=1,0,J33*Simulador!$W$38*1.16)</f>
        <v>0</v>
      </c>
      <c r="M33" s="107"/>
      <c r="N33" s="111"/>
      <c r="O33" s="13"/>
      <c r="P33" s="664">
        <f t="shared" si="1"/>
      </c>
      <c r="Q33" s="3"/>
      <c r="R33" s="107">
        <f t="shared" si="7"/>
        <v>0</v>
      </c>
      <c r="S33" s="107"/>
      <c r="T33" s="107">
        <f>_xlfn.IFERROR(IF(Simulador!$U$29=1,0,IF($B33&lt;=0,0,$B33*Simulador!$AA$42)),0)</f>
        <v>0</v>
      </c>
      <c r="U33" s="107"/>
      <c r="V33" s="107">
        <f>_xlfn.IFERROR(IF(Simulador!$U$29=1,0,IF($B33&lt;=0,0,IF(Simulador!$D$22&gt;0,Simulador!$D$22,Simulador!$O$24)*Simulador!$AA$43)),0)</f>
        <v>0</v>
      </c>
      <c r="W33" s="107"/>
      <c r="X33" s="107"/>
      <c r="Y33" s="107">
        <f t="shared" si="2"/>
        <v>0</v>
      </c>
      <c r="Z33" s="14"/>
      <c r="AA33" s="16"/>
      <c r="AB33" s="23"/>
      <c r="AC33" s="295">
        <v>1</v>
      </c>
      <c r="AD33" s="295">
        <v>7</v>
      </c>
      <c r="AE33" s="400">
        <f t="shared" si="8"/>
        <v>0</v>
      </c>
      <c r="AF33" s="279">
        <f t="shared" si="9"/>
        <v>0</v>
      </c>
      <c r="AG33" s="279">
        <f t="shared" si="10"/>
        <v>0</v>
      </c>
      <c r="AH33" s="418">
        <f t="shared" si="11"/>
        <v>0</v>
      </c>
      <c r="AI33" s="296">
        <f>IF(Simulador!$T$67=1,'Tabla de amortizacion'!AJ33,'Tabla de amortizacion'!AR33)</f>
        <v>0.1</v>
      </c>
      <c r="AJ33" s="297">
        <f>Simulador!$I$41</f>
        <v>0.1</v>
      </c>
      <c r="AK33" s="298">
        <f t="shared" si="12"/>
        <v>0</v>
      </c>
      <c r="AL33" s="297">
        <f t="shared" si="29"/>
        <v>0.0975</v>
      </c>
      <c r="AM33" s="520">
        <f t="shared" si="26"/>
        <v>0.0975</v>
      </c>
      <c r="AN33" s="520">
        <f t="shared" si="27"/>
        <v>0.0975</v>
      </c>
      <c r="AO33" s="520">
        <f t="shared" si="28"/>
        <v>0.0975</v>
      </c>
      <c r="AP33" s="299">
        <v>0</v>
      </c>
      <c r="AQ33" s="414">
        <f t="shared" si="16"/>
        <v>0</v>
      </c>
      <c r="AR33" s="300">
        <f>IF(AND(Simulador!$T$67=2,Simulador!$T$61=1),AL33,IF(AND(Simulador!$T$67=2,Simulador!$T$61=2),AM33,IF(AND(Simulador!$T$67=2,Simulador!$T$61=3),AN33,AO33)))</f>
        <v>0.0975</v>
      </c>
      <c r="AS33" s="281"/>
      <c r="AT33" s="70">
        <f t="shared" si="30"/>
        <v>0</v>
      </c>
      <c r="AU33" s="70">
        <f t="shared" si="18"/>
        <v>0</v>
      </c>
      <c r="AV33" s="71">
        <f t="shared" si="3"/>
        <v>0</v>
      </c>
      <c r="AW33" s="70">
        <f t="shared" si="4"/>
        <v>0</v>
      </c>
      <c r="AX33" s="70">
        <f t="shared" si="19"/>
        <v>0</v>
      </c>
      <c r="AY33" s="72">
        <f t="shared" si="5"/>
      </c>
      <c r="AZ33" s="70">
        <f>_xlfn.IFERROR(IF(Simulador!$U$29=1,0,IF($AT33&lt;=0.01,0,$AT33*Simulador!$AA$42)),0)+_xlfn.IFERROR(IF(Simulador!$U$29=1,0,IF($AT33&lt;=0.01,0,IF(Simulador!$D$22&gt;0,Simulador!$D$22,Simulador!$O$24)*Simulador!$AA$43)),0)</f>
        <v>0</v>
      </c>
      <c r="BA33" s="73"/>
      <c r="BB33" s="70">
        <f t="shared" si="6"/>
        <v>0</v>
      </c>
      <c r="BC33">
        <f t="shared" si="20"/>
        <v>0</v>
      </c>
      <c r="BD33" s="431">
        <f t="shared" si="21"/>
      </c>
      <c r="BE33" s="432">
        <f t="shared" si="25"/>
        <v>0</v>
      </c>
      <c r="BF33" s="69">
        <v>19</v>
      </c>
      <c r="BG33" s="38"/>
      <c r="BJ33" s="69"/>
      <c r="BM33" s="432"/>
    </row>
    <row r="34" spans="1:65" ht="12">
      <c r="A34" s="531">
        <v>20</v>
      </c>
      <c r="B34" s="106">
        <f t="shared" si="22"/>
        <v>0</v>
      </c>
      <c r="C34" s="106"/>
      <c r="D34" s="107">
        <f>IF(B34+F34-D33&lt;=0,B34+F34,IF(AND(OR(Simulador!$U$38=2,Simulador!$U$38=7),J33=0),D33*(1+AA34),IF($AE$3=2,B34*AQ34,D33*(1+AA34))))</f>
        <v>0</v>
      </c>
      <c r="E34" s="107"/>
      <c r="F34" s="107">
        <f t="shared" si="0"/>
        <v>0</v>
      </c>
      <c r="G34" s="107"/>
      <c r="H34" s="107">
        <f t="shared" si="23"/>
        <v>0</v>
      </c>
      <c r="I34" s="108"/>
      <c r="J34" s="109"/>
      <c r="K34" s="108"/>
      <c r="L34" s="107">
        <f>IF(Simulador!$T$40=1,0,J34*Simulador!$W$38*1.16)</f>
        <v>0</v>
      </c>
      <c r="M34" s="107"/>
      <c r="N34" s="110">
        <f>IF(B34-H34=0,0,N32)</f>
        <v>0</v>
      </c>
      <c r="O34" s="13"/>
      <c r="P34" s="664">
        <f t="shared" si="1"/>
      </c>
      <c r="Q34" s="3"/>
      <c r="R34" s="107">
        <f t="shared" si="7"/>
        <v>0</v>
      </c>
      <c r="S34" s="107"/>
      <c r="T34" s="107">
        <f>_xlfn.IFERROR(IF(Simulador!$U$29=1,0,IF($B34&lt;=0,0,$B34*Simulador!$AA$42)),0)</f>
        <v>0</v>
      </c>
      <c r="U34" s="107"/>
      <c r="V34" s="107">
        <f>_xlfn.IFERROR(IF(Simulador!$U$29=1,0,IF($B34&lt;=0,0,IF(Simulador!$D$22&gt;0,Simulador!$D$22,Simulador!$O$24)*Simulador!$AA$43)),0)</f>
        <v>0</v>
      </c>
      <c r="W34" s="107"/>
      <c r="X34" s="107"/>
      <c r="Y34" s="107">
        <f t="shared" si="2"/>
        <v>0</v>
      </c>
      <c r="Z34" s="14"/>
      <c r="AA34" s="16"/>
      <c r="AB34" s="23"/>
      <c r="AC34" s="295">
        <v>1</v>
      </c>
      <c r="AD34" s="295">
        <v>8</v>
      </c>
      <c r="AE34" s="400">
        <f t="shared" si="8"/>
        <v>0</v>
      </c>
      <c r="AF34" s="279">
        <f t="shared" si="9"/>
        <v>0</v>
      </c>
      <c r="AG34" s="279">
        <f t="shared" si="10"/>
        <v>0</v>
      </c>
      <c r="AH34" s="418">
        <f t="shared" si="11"/>
        <v>0</v>
      </c>
      <c r="AI34" s="296">
        <f>IF(Simulador!$T$67=1,'Tabla de amortizacion'!AJ34,'Tabla de amortizacion'!AR34)</f>
        <v>0.1</v>
      </c>
      <c r="AJ34" s="297">
        <f>Simulador!$I$41</f>
        <v>0.1</v>
      </c>
      <c r="AK34" s="298">
        <f t="shared" si="12"/>
        <v>0</v>
      </c>
      <c r="AL34" s="297">
        <f t="shared" si="29"/>
        <v>0.0975</v>
      </c>
      <c r="AM34" s="520">
        <f t="shared" si="26"/>
        <v>0.0975</v>
      </c>
      <c r="AN34" s="520">
        <f t="shared" si="27"/>
        <v>0.0975</v>
      </c>
      <c r="AO34" s="520">
        <f t="shared" si="28"/>
        <v>0.0975</v>
      </c>
      <c r="AP34" s="299">
        <v>0</v>
      </c>
      <c r="AQ34" s="414">
        <f t="shared" si="16"/>
        <v>0</v>
      </c>
      <c r="AR34" s="300">
        <f>IF(AND(Simulador!$T$67=2,Simulador!$T$61=1),AL34,IF(AND(Simulador!$T$67=2,Simulador!$T$61=2),AM34,IF(AND(Simulador!$T$67=2,Simulador!$T$61=3),AN34,AO34)))</f>
        <v>0.0975</v>
      </c>
      <c r="AS34" s="281"/>
      <c r="AT34" s="70">
        <f t="shared" si="30"/>
        <v>0</v>
      </c>
      <c r="AU34" s="70">
        <f t="shared" si="18"/>
        <v>0</v>
      </c>
      <c r="AV34" s="71">
        <f t="shared" si="3"/>
        <v>0</v>
      </c>
      <c r="AW34" s="70">
        <f t="shared" si="4"/>
        <v>0</v>
      </c>
      <c r="AX34" s="70">
        <f t="shared" si="19"/>
        <v>0</v>
      </c>
      <c r="AY34" s="72">
        <f t="shared" si="5"/>
      </c>
      <c r="AZ34" s="70">
        <f>_xlfn.IFERROR(IF(Simulador!$U$29=1,0,IF($AT34&lt;=0.01,0,$AT34*Simulador!$AA$42)),0)+_xlfn.IFERROR(IF(Simulador!$U$29=1,0,IF($AT34&lt;=0.01,0,IF(Simulador!$D$22&gt;0,Simulador!$D$22,Simulador!$O$24)*Simulador!$AA$43)),0)</f>
        <v>0</v>
      </c>
      <c r="BA34" s="73"/>
      <c r="BB34" s="70">
        <f t="shared" si="6"/>
        <v>0</v>
      </c>
      <c r="BC34">
        <f t="shared" si="20"/>
        <v>0</v>
      </c>
      <c r="BD34" s="431">
        <f t="shared" si="21"/>
      </c>
      <c r="BE34" s="432">
        <f t="shared" si="25"/>
        <v>0</v>
      </c>
      <c r="BF34" s="69">
        <v>20</v>
      </c>
      <c r="BG34" s="38"/>
      <c r="BJ34" s="69"/>
      <c r="BM34" s="432"/>
    </row>
    <row r="35" spans="1:65" ht="12">
      <c r="A35" s="531">
        <v>21</v>
      </c>
      <c r="B35" s="106">
        <f t="shared" si="22"/>
        <v>0</v>
      </c>
      <c r="C35" s="106"/>
      <c r="D35" s="107">
        <f>IF(B35+F35-D34&lt;=0,B35+F35,IF(AND(OR(Simulador!$U$38=2,Simulador!$U$38=7),J34=0),D34*(1+AA35),IF($AE$3=2,B35*AQ35,D34*(1+AA35))))</f>
        <v>0</v>
      </c>
      <c r="E35" s="107"/>
      <c r="F35" s="107">
        <f t="shared" si="0"/>
        <v>0</v>
      </c>
      <c r="G35" s="107"/>
      <c r="H35" s="107">
        <f t="shared" si="23"/>
        <v>0</v>
      </c>
      <c r="I35" s="108"/>
      <c r="J35" s="109"/>
      <c r="K35" s="108"/>
      <c r="L35" s="107">
        <f>IF(Simulador!$T$40=1,0,J35*Simulador!$W$38*1.16)</f>
        <v>0</v>
      </c>
      <c r="M35" s="107"/>
      <c r="N35" s="111"/>
      <c r="O35" s="13"/>
      <c r="P35" s="664">
        <f t="shared" si="1"/>
      </c>
      <c r="Q35" s="3"/>
      <c r="R35" s="107">
        <f t="shared" si="7"/>
        <v>0</v>
      </c>
      <c r="S35" s="107"/>
      <c r="T35" s="107">
        <f>_xlfn.IFERROR(IF(Simulador!$U$29=1,0,IF($B35&lt;=0,0,$B35*Simulador!$AA$42)),0)</f>
        <v>0</v>
      </c>
      <c r="U35" s="107"/>
      <c r="V35" s="107">
        <f>_xlfn.IFERROR(IF(Simulador!$U$29=1,0,IF($B35&lt;=0,0,IF(Simulador!$D$22&gt;0,Simulador!$D$22,Simulador!$O$24)*Simulador!$AA$43)),0)</f>
        <v>0</v>
      </c>
      <c r="W35" s="107"/>
      <c r="X35" s="107"/>
      <c r="Y35" s="107">
        <f t="shared" si="2"/>
        <v>0</v>
      </c>
      <c r="Z35" s="14"/>
      <c r="AA35" s="16"/>
      <c r="AB35" s="24"/>
      <c r="AC35" s="295">
        <v>1</v>
      </c>
      <c r="AD35" s="302">
        <v>9</v>
      </c>
      <c r="AE35" s="400">
        <f t="shared" si="8"/>
        <v>0</v>
      </c>
      <c r="AF35" s="279">
        <f t="shared" si="9"/>
        <v>0</v>
      </c>
      <c r="AG35" s="279">
        <f t="shared" si="10"/>
        <v>0</v>
      </c>
      <c r="AH35" s="418">
        <f t="shared" si="11"/>
        <v>0</v>
      </c>
      <c r="AI35" s="296">
        <f>IF(Simulador!$T$67=1,'Tabla de amortizacion'!AJ35,'Tabla de amortizacion'!AR35)</f>
        <v>0.1</v>
      </c>
      <c r="AJ35" s="297">
        <f>Simulador!$I$41</f>
        <v>0.1</v>
      </c>
      <c r="AK35" s="298">
        <f t="shared" si="12"/>
        <v>0</v>
      </c>
      <c r="AL35" s="297">
        <f t="shared" si="29"/>
        <v>0.0975</v>
      </c>
      <c r="AM35" s="520">
        <f t="shared" si="26"/>
        <v>0.0975</v>
      </c>
      <c r="AN35" s="520">
        <f t="shared" si="27"/>
        <v>0.0975</v>
      </c>
      <c r="AO35" s="520">
        <f t="shared" si="28"/>
        <v>0.0975</v>
      </c>
      <c r="AP35" s="299">
        <v>0</v>
      </c>
      <c r="AQ35" s="414">
        <f t="shared" si="16"/>
        <v>0</v>
      </c>
      <c r="AR35" s="300">
        <f>IF(AND(Simulador!$T$67=2,Simulador!$T$61=1),AL35,IF(AND(Simulador!$T$67=2,Simulador!$T$61=2),AM35,IF(AND(Simulador!$T$67=2,Simulador!$T$61=3),AN35,AO35)))</f>
        <v>0.0975</v>
      </c>
      <c r="AS35" s="281"/>
      <c r="AT35" s="70">
        <f t="shared" si="30"/>
        <v>0</v>
      </c>
      <c r="AU35" s="70">
        <f t="shared" si="18"/>
        <v>0</v>
      </c>
      <c r="AV35" s="71">
        <f t="shared" si="3"/>
        <v>0</v>
      </c>
      <c r="AW35" s="70">
        <f t="shared" si="4"/>
        <v>0</v>
      </c>
      <c r="AX35" s="70">
        <f t="shared" si="19"/>
        <v>0</v>
      </c>
      <c r="AY35" s="72">
        <f t="shared" si="5"/>
      </c>
      <c r="AZ35" s="70">
        <f>_xlfn.IFERROR(IF(Simulador!$U$29=1,0,IF($AT35&lt;=0.01,0,$AT35*Simulador!$AA$42)),0)+_xlfn.IFERROR(IF(Simulador!$U$29=1,0,IF($AT35&lt;=0.01,0,IF(Simulador!$D$22&gt;0,Simulador!$D$22,Simulador!$O$24)*Simulador!$AA$43)),0)</f>
        <v>0</v>
      </c>
      <c r="BA35" s="73"/>
      <c r="BB35" s="70">
        <f t="shared" si="6"/>
        <v>0</v>
      </c>
      <c r="BC35">
        <f t="shared" si="20"/>
        <v>0</v>
      </c>
      <c r="BD35" s="431">
        <f t="shared" si="21"/>
      </c>
      <c r="BE35" s="432">
        <f t="shared" si="25"/>
        <v>0</v>
      </c>
      <c r="BF35" s="69">
        <v>21</v>
      </c>
      <c r="BG35" s="38"/>
      <c r="BJ35" s="69"/>
      <c r="BM35" s="432"/>
    </row>
    <row r="36" spans="1:65" ht="12">
      <c r="A36" s="531">
        <v>22</v>
      </c>
      <c r="B36" s="106">
        <f t="shared" si="22"/>
        <v>0</v>
      </c>
      <c r="C36" s="106"/>
      <c r="D36" s="107">
        <f>IF(B36+F36-D35&lt;=0,B36+F36,IF(AND(OR(Simulador!$U$38=2,Simulador!$U$38=7),J35=0),D35*(1+AA36),IF($AE$3=2,B36*AQ36,D35*(1+AA36))))</f>
        <v>0</v>
      </c>
      <c r="E36" s="107"/>
      <c r="F36" s="107">
        <f t="shared" si="0"/>
        <v>0</v>
      </c>
      <c r="G36" s="107"/>
      <c r="H36" s="107">
        <f t="shared" si="23"/>
        <v>0</v>
      </c>
      <c r="I36" s="108"/>
      <c r="J36" s="109"/>
      <c r="K36" s="108"/>
      <c r="L36" s="107">
        <f>IF(Simulador!$T$40=1,0,J36*Simulador!$W$38*1.16)</f>
        <v>0</v>
      </c>
      <c r="M36" s="107"/>
      <c r="N36" s="110">
        <f>IF(B36-H36=0,0,N34)</f>
        <v>0</v>
      </c>
      <c r="O36" s="13"/>
      <c r="P36" s="664">
        <f t="shared" si="1"/>
      </c>
      <c r="Q36" s="3"/>
      <c r="R36" s="107">
        <f t="shared" si="7"/>
        <v>0</v>
      </c>
      <c r="S36" s="107"/>
      <c r="T36" s="107">
        <f>_xlfn.IFERROR(IF(Simulador!$U$29=1,0,IF($B36&lt;=0,0,$B36*Simulador!$AA$42)),0)</f>
        <v>0</v>
      </c>
      <c r="U36" s="107"/>
      <c r="V36" s="107">
        <f>_xlfn.IFERROR(IF(Simulador!$U$29=1,0,IF($B36&lt;=0,0,IF(Simulador!$D$22&gt;0,Simulador!$D$22,Simulador!$O$24)*Simulador!$AA$43)),0)</f>
        <v>0</v>
      </c>
      <c r="W36" s="107"/>
      <c r="X36" s="107"/>
      <c r="Y36" s="107">
        <f t="shared" si="2"/>
        <v>0</v>
      </c>
      <c r="Z36" s="14"/>
      <c r="AA36" s="16"/>
      <c r="AB36" s="24"/>
      <c r="AC36" s="295">
        <v>1</v>
      </c>
      <c r="AD36" s="302">
        <v>10</v>
      </c>
      <c r="AE36" s="400">
        <f t="shared" si="8"/>
        <v>0</v>
      </c>
      <c r="AF36" s="279">
        <f t="shared" si="9"/>
        <v>0</v>
      </c>
      <c r="AG36" s="279">
        <f t="shared" si="10"/>
        <v>0</v>
      </c>
      <c r="AH36" s="418">
        <f t="shared" si="11"/>
        <v>0</v>
      </c>
      <c r="AI36" s="296">
        <f>IF(Simulador!$T$67=1,'Tabla de amortizacion'!AJ36,'Tabla de amortizacion'!AR36)</f>
        <v>0.1</v>
      </c>
      <c r="AJ36" s="297">
        <f>Simulador!$I$41</f>
        <v>0.1</v>
      </c>
      <c r="AK36" s="298">
        <f t="shared" si="12"/>
        <v>0</v>
      </c>
      <c r="AL36" s="297">
        <f t="shared" si="29"/>
        <v>0.0975</v>
      </c>
      <c r="AM36" s="520">
        <f t="shared" si="26"/>
        <v>0.0975</v>
      </c>
      <c r="AN36" s="520">
        <f t="shared" si="27"/>
        <v>0.0975</v>
      </c>
      <c r="AO36" s="520">
        <f t="shared" si="28"/>
        <v>0.0975</v>
      </c>
      <c r="AP36" s="299">
        <v>0</v>
      </c>
      <c r="AQ36" s="414">
        <f t="shared" si="16"/>
        <v>0</v>
      </c>
      <c r="AR36" s="300">
        <f>IF(AND(Simulador!$T$67=2,Simulador!$T$61=1),AL36,IF(AND(Simulador!$T$67=2,Simulador!$T$61=2),AM36,IF(AND(Simulador!$T$67=2,Simulador!$T$61=3),AN36,AO36)))</f>
        <v>0.0975</v>
      </c>
      <c r="AS36" s="281"/>
      <c r="AT36" s="70">
        <f t="shared" si="30"/>
        <v>0</v>
      </c>
      <c r="AU36" s="70">
        <f t="shared" si="18"/>
        <v>0</v>
      </c>
      <c r="AV36" s="71">
        <f t="shared" si="3"/>
        <v>0</v>
      </c>
      <c r="AW36" s="70">
        <f t="shared" si="4"/>
        <v>0</v>
      </c>
      <c r="AX36" s="70">
        <f t="shared" si="19"/>
        <v>0</v>
      </c>
      <c r="AY36" s="72">
        <f t="shared" si="5"/>
      </c>
      <c r="AZ36" s="70">
        <f>_xlfn.IFERROR(IF(Simulador!$U$29=1,0,IF($AT36&lt;=0.01,0,$AT36*Simulador!$AA$42)),0)+_xlfn.IFERROR(IF(Simulador!$U$29=1,0,IF($AT36&lt;=0.01,0,IF(Simulador!$D$22&gt;0,Simulador!$D$22,Simulador!$O$24)*Simulador!$AA$43)),0)</f>
        <v>0</v>
      </c>
      <c r="BA36" s="73"/>
      <c r="BB36" s="70">
        <f t="shared" si="6"/>
        <v>0</v>
      </c>
      <c r="BC36">
        <f t="shared" si="20"/>
        <v>0</v>
      </c>
      <c r="BD36" s="431">
        <f t="shared" si="21"/>
      </c>
      <c r="BE36" s="432">
        <f t="shared" si="25"/>
        <v>0</v>
      </c>
      <c r="BF36" s="69">
        <v>22</v>
      </c>
      <c r="BG36" s="38"/>
      <c r="BJ36" s="69"/>
      <c r="BM36" s="432"/>
    </row>
    <row r="37" spans="1:65" ht="12">
      <c r="A37" s="531">
        <v>23</v>
      </c>
      <c r="B37" s="106">
        <f t="shared" si="22"/>
        <v>0</v>
      </c>
      <c r="C37" s="106"/>
      <c r="D37" s="107">
        <f>IF(B37+F37-D36&lt;=0,B37+F37,IF(AND(OR(Simulador!$U$38=2,Simulador!$U$38=7),J36=0),D36*(1+AA37),IF($AE$3=2,B37*AQ37,D36*(1+AA37))))</f>
        <v>0</v>
      </c>
      <c r="E37" s="107"/>
      <c r="F37" s="107">
        <f t="shared" si="0"/>
        <v>0</v>
      </c>
      <c r="G37" s="107"/>
      <c r="H37" s="107">
        <f t="shared" si="23"/>
        <v>0</v>
      </c>
      <c r="I37" s="108"/>
      <c r="J37" s="109"/>
      <c r="K37" s="108"/>
      <c r="L37" s="107">
        <f>IF(Simulador!$T$40=1,0,J37*Simulador!$W$38*1.16)</f>
        <v>0</v>
      </c>
      <c r="M37" s="107"/>
      <c r="N37" s="111"/>
      <c r="O37" s="13"/>
      <c r="P37" s="664">
        <f t="shared" si="1"/>
      </c>
      <c r="Q37" s="3"/>
      <c r="R37" s="107">
        <f t="shared" si="7"/>
        <v>0</v>
      </c>
      <c r="S37" s="107"/>
      <c r="T37" s="107">
        <f>_xlfn.IFERROR(IF(Simulador!$U$29=1,0,IF($B37&lt;=0,0,$B37*Simulador!$AA$42)),0)</f>
        <v>0</v>
      </c>
      <c r="U37" s="107"/>
      <c r="V37" s="107">
        <f>_xlfn.IFERROR(IF(Simulador!$U$29=1,0,IF($B37&lt;=0,0,IF(Simulador!$D$22&gt;0,Simulador!$D$22,Simulador!$O$24)*Simulador!$AA$43)),0)</f>
        <v>0</v>
      </c>
      <c r="W37" s="107"/>
      <c r="X37" s="107"/>
      <c r="Y37" s="107">
        <f t="shared" si="2"/>
        <v>0</v>
      </c>
      <c r="Z37" s="14"/>
      <c r="AA37" s="16"/>
      <c r="AB37" s="24"/>
      <c r="AC37" s="295">
        <v>1</v>
      </c>
      <c r="AD37" s="295">
        <v>11</v>
      </c>
      <c r="AE37" s="400">
        <f t="shared" si="8"/>
        <v>0</v>
      </c>
      <c r="AF37" s="279">
        <f t="shared" si="9"/>
        <v>0</v>
      </c>
      <c r="AG37" s="279">
        <f t="shared" si="10"/>
        <v>0</v>
      </c>
      <c r="AH37" s="418">
        <f t="shared" si="11"/>
        <v>0</v>
      </c>
      <c r="AI37" s="296">
        <f>IF(Simulador!$T$67=1,'Tabla de amortizacion'!AJ37,'Tabla de amortizacion'!AR37)</f>
        <v>0.1</v>
      </c>
      <c r="AJ37" s="297">
        <f>Simulador!$I$41</f>
        <v>0.1</v>
      </c>
      <c r="AK37" s="298">
        <f t="shared" si="12"/>
        <v>0</v>
      </c>
      <c r="AL37" s="297">
        <f t="shared" si="29"/>
        <v>0.0975</v>
      </c>
      <c r="AM37" s="520">
        <f t="shared" si="26"/>
        <v>0.0975</v>
      </c>
      <c r="AN37" s="520">
        <f t="shared" si="27"/>
        <v>0.0975</v>
      </c>
      <c r="AO37" s="520">
        <f t="shared" si="28"/>
        <v>0.0975</v>
      </c>
      <c r="AP37" s="299">
        <v>0</v>
      </c>
      <c r="AQ37" s="414">
        <f t="shared" si="16"/>
        <v>0</v>
      </c>
      <c r="AR37" s="300">
        <f>IF(AND(Simulador!$T$67=2,Simulador!$T$61=1),AL37,IF(AND(Simulador!$T$67=2,Simulador!$T$61=2),AM37,IF(AND(Simulador!$T$67=2,Simulador!$T$61=3),AN37,AO37)))</f>
        <v>0.0975</v>
      </c>
      <c r="AS37" s="281"/>
      <c r="AT37" s="70">
        <f t="shared" si="30"/>
        <v>0</v>
      </c>
      <c r="AU37" s="70">
        <f t="shared" si="18"/>
        <v>0</v>
      </c>
      <c r="AV37" s="71">
        <f t="shared" si="3"/>
        <v>0</v>
      </c>
      <c r="AW37" s="70">
        <f t="shared" si="4"/>
        <v>0</v>
      </c>
      <c r="AX37" s="70">
        <f t="shared" si="19"/>
        <v>0</v>
      </c>
      <c r="AY37" s="72">
        <f t="shared" si="5"/>
      </c>
      <c r="AZ37" s="70">
        <f>_xlfn.IFERROR(IF(Simulador!$U$29=1,0,IF($AT37&lt;=0.01,0,$AT37*Simulador!$AA$42)),0)+_xlfn.IFERROR(IF(Simulador!$U$29=1,0,IF($AT37&lt;=0.01,0,IF(Simulador!$D$22&gt;0,Simulador!$D$22,Simulador!$O$24)*Simulador!$AA$43)),0)</f>
        <v>0</v>
      </c>
      <c r="BA37" s="73"/>
      <c r="BB37" s="70">
        <f t="shared" si="6"/>
        <v>0</v>
      </c>
      <c r="BC37">
        <f t="shared" si="20"/>
        <v>0</v>
      </c>
      <c r="BD37" s="431">
        <f t="shared" si="21"/>
      </c>
      <c r="BE37" s="432">
        <f t="shared" si="25"/>
        <v>0</v>
      </c>
      <c r="BF37" s="69">
        <v>23</v>
      </c>
      <c r="BG37" s="38"/>
      <c r="BJ37" s="69"/>
      <c r="BM37" s="432"/>
    </row>
    <row r="38" spans="1:65" ht="12">
      <c r="A38" s="531">
        <v>24</v>
      </c>
      <c r="B38" s="106">
        <f t="shared" si="22"/>
        <v>0</v>
      </c>
      <c r="C38" s="106"/>
      <c r="D38" s="107">
        <f>IF(B38+F38-D37&lt;=0,B38+F38,IF(AND(OR(Simulador!$U$38=2,Simulador!$U$38=7),J37=0),D37*(1+AA38),IF($AE$3=2,B38*AQ38,D37*(1+AA38))))</f>
        <v>0</v>
      </c>
      <c r="E38" s="107"/>
      <c r="F38" s="107">
        <f t="shared" si="0"/>
        <v>0</v>
      </c>
      <c r="G38" s="107"/>
      <c r="H38" s="107">
        <f t="shared" si="23"/>
        <v>0</v>
      </c>
      <c r="I38" s="108"/>
      <c r="J38" s="109"/>
      <c r="K38" s="108"/>
      <c r="L38" s="107">
        <f>IF(Simulador!$T$40=1,0,J38*Simulador!$W$38*1.16)</f>
        <v>0</v>
      </c>
      <c r="M38" s="107"/>
      <c r="N38" s="110">
        <f>IF(B38-H38=0,0,N36)</f>
        <v>0</v>
      </c>
      <c r="O38" s="13"/>
      <c r="P38" s="664">
        <f t="shared" si="1"/>
      </c>
      <c r="Q38" s="3"/>
      <c r="R38" s="107">
        <f t="shared" si="7"/>
        <v>0</v>
      </c>
      <c r="S38" s="107"/>
      <c r="T38" s="107">
        <f>_xlfn.IFERROR(IF(Simulador!$U$29=1,0,IF($B38&lt;=0,0,$B38*Simulador!$AA$42)),0)</f>
        <v>0</v>
      </c>
      <c r="U38" s="107"/>
      <c r="V38" s="107">
        <f>_xlfn.IFERROR(IF(Simulador!$U$29=1,0,IF($B38&lt;=0,0,IF(Simulador!$D$22&gt;0,Simulador!$D$22,Simulador!$O$24)*Simulador!$AA$43)),0)</f>
        <v>0</v>
      </c>
      <c r="W38" s="107"/>
      <c r="X38" s="107"/>
      <c r="Y38" s="107">
        <f t="shared" si="2"/>
        <v>0</v>
      </c>
      <c r="Z38" s="14"/>
      <c r="AA38" s="19"/>
      <c r="AB38" s="24"/>
      <c r="AC38" s="303">
        <v>2</v>
      </c>
      <c r="AD38" s="295">
        <v>0</v>
      </c>
      <c r="AE38" s="400">
        <f t="shared" si="8"/>
        <v>0</v>
      </c>
      <c r="AF38" s="279">
        <f t="shared" si="9"/>
        <v>0</v>
      </c>
      <c r="AG38" s="279">
        <f t="shared" si="10"/>
        <v>0</v>
      </c>
      <c r="AH38" s="418">
        <f t="shared" si="11"/>
        <v>0</v>
      </c>
      <c r="AI38" s="296">
        <f>IF(Simulador!$T$67=1,'Tabla de amortizacion'!AJ38,'Tabla de amortizacion'!AR38)</f>
        <v>0.1</v>
      </c>
      <c r="AJ38" s="297">
        <f>Simulador!$I$41</f>
        <v>0.1</v>
      </c>
      <c r="AK38" s="298">
        <f t="shared" si="12"/>
        <v>0</v>
      </c>
      <c r="AL38" s="297">
        <f t="shared" si="29"/>
        <v>0.0975</v>
      </c>
      <c r="AM38" s="520">
        <f t="shared" si="26"/>
        <v>0.0975</v>
      </c>
      <c r="AN38" s="520">
        <f t="shared" si="27"/>
        <v>0.0975</v>
      </c>
      <c r="AO38" s="520">
        <f t="shared" si="28"/>
        <v>0.0975</v>
      </c>
      <c r="AP38" s="299">
        <v>0</v>
      </c>
      <c r="AQ38" s="414">
        <f t="shared" si="16"/>
        <v>0</v>
      </c>
      <c r="AR38" s="300">
        <f>IF(AND(Simulador!$T$67=2,Simulador!$T$61=1),AL38,IF(AND(Simulador!$T$67=2,Simulador!$T$61=2),AM38,IF(AND(Simulador!$T$67=2,Simulador!$T$61=3),AN38,AO38)))</f>
        <v>0.0975</v>
      </c>
      <c r="AS38" s="281"/>
      <c r="AT38" s="70">
        <f t="shared" si="30"/>
        <v>0</v>
      </c>
      <c r="AU38" s="70">
        <f t="shared" si="18"/>
        <v>0</v>
      </c>
      <c r="AV38" s="71">
        <f t="shared" si="3"/>
        <v>0</v>
      </c>
      <c r="AW38" s="70">
        <f t="shared" si="4"/>
        <v>0</v>
      </c>
      <c r="AX38" s="70">
        <f t="shared" si="19"/>
        <v>0</v>
      </c>
      <c r="AY38" s="72">
        <f t="shared" si="5"/>
      </c>
      <c r="AZ38" s="70">
        <f>_xlfn.IFERROR(IF(Simulador!$U$29=1,0,IF($AT38&lt;=0.01,0,$AT38*Simulador!$AA$42)),0)+_xlfn.IFERROR(IF(Simulador!$U$29=1,0,IF($AT38&lt;=0.01,0,IF(Simulador!$D$22&gt;0,Simulador!$D$22,Simulador!$O$24)*Simulador!$AA$43)),0)</f>
        <v>0</v>
      </c>
      <c r="BA38" s="73"/>
      <c r="BB38" s="70">
        <f t="shared" si="6"/>
        <v>0</v>
      </c>
      <c r="BC38">
        <f t="shared" si="20"/>
        <v>0</v>
      </c>
      <c r="BD38" s="431">
        <f t="shared" si="21"/>
      </c>
      <c r="BE38" s="432">
        <f t="shared" si="25"/>
        <v>0</v>
      </c>
      <c r="BF38" s="69">
        <v>24</v>
      </c>
      <c r="BG38" s="38"/>
      <c r="BJ38" s="69"/>
      <c r="BM38" s="432"/>
    </row>
    <row r="39" spans="1:65" ht="12">
      <c r="A39" s="531">
        <v>25</v>
      </c>
      <c r="B39" s="106">
        <f t="shared" si="22"/>
        <v>0</v>
      </c>
      <c r="C39" s="106"/>
      <c r="D39" s="107">
        <f>IF(B39+F39-D38&lt;=0,B39+F39,IF(AND(OR(Simulador!$U$38=2,Simulador!$U$38=7),J38=0),D38*(1+AA39),IF($AE$3=2,B39*AQ39,D38*(1+AA39))))</f>
        <v>0</v>
      </c>
      <c r="E39" s="107"/>
      <c r="F39" s="107">
        <f t="shared" si="0"/>
        <v>0</v>
      </c>
      <c r="G39" s="107"/>
      <c r="H39" s="107">
        <f t="shared" si="23"/>
        <v>0</v>
      </c>
      <c r="I39" s="108"/>
      <c r="J39" s="109"/>
      <c r="K39" s="108"/>
      <c r="L39" s="107">
        <f>IF(Simulador!$T$40=1,0,J39*Simulador!$W$38*1.16)</f>
        <v>0</v>
      </c>
      <c r="M39" s="107"/>
      <c r="N39" s="111"/>
      <c r="O39" s="13"/>
      <c r="P39" s="664">
        <f t="shared" si="1"/>
      </c>
      <c r="Q39" s="3"/>
      <c r="R39" s="107">
        <f t="shared" si="7"/>
        <v>0</v>
      </c>
      <c r="S39" s="107"/>
      <c r="T39" s="107">
        <f>_xlfn.IFERROR(IF(Simulador!$U$29=1,0,IF($B39&lt;=0,0,$B39*Simulador!$AA$42)),0)</f>
        <v>0</v>
      </c>
      <c r="U39" s="107"/>
      <c r="V39" s="107">
        <f>_xlfn.IFERROR(IF(Simulador!$U$29=1,0,IF($B39&lt;=0,0,IF(Simulador!$D$22&gt;0,Simulador!$D$22,Simulador!$O$24)*Simulador!$AA$43)),0)</f>
        <v>0</v>
      </c>
      <c r="W39" s="107"/>
      <c r="X39" s="107"/>
      <c r="Y39" s="107">
        <f t="shared" si="2"/>
        <v>0</v>
      </c>
      <c r="Z39" s="14"/>
      <c r="AA39" s="19">
        <f>IF(B39&lt;=0,0,Simulador!$I$42)</f>
        <v>0</v>
      </c>
      <c r="AB39" s="24"/>
      <c r="AC39" s="303">
        <v>2</v>
      </c>
      <c r="AD39" s="295">
        <v>1</v>
      </c>
      <c r="AE39" s="400">
        <f t="shared" si="8"/>
        <v>0</v>
      </c>
      <c r="AF39" s="279">
        <f t="shared" si="9"/>
        <v>0</v>
      </c>
      <c r="AG39" s="279">
        <f t="shared" si="10"/>
        <v>0</v>
      </c>
      <c r="AH39" s="418">
        <f t="shared" si="11"/>
        <v>0</v>
      </c>
      <c r="AI39" s="296">
        <f>IF(Simulador!$T$67=1,'Tabla de amortizacion'!AJ39,'Tabla de amortizacion'!AR39)</f>
        <v>0.1</v>
      </c>
      <c r="AJ39" s="297">
        <f>Simulador!$I$41</f>
        <v>0.1</v>
      </c>
      <c r="AK39" s="298">
        <f t="shared" si="12"/>
        <v>0</v>
      </c>
      <c r="AL39" s="562">
        <f>AL38-0.2%</f>
        <v>0.0955</v>
      </c>
      <c r="AM39" s="562">
        <f>AM38-0.2%</f>
        <v>0.0955</v>
      </c>
      <c r="AN39" s="563">
        <f>AN38-0.2%</f>
        <v>0.0955</v>
      </c>
      <c r="AO39" s="563">
        <f>AO38-0.2%</f>
        <v>0.0955</v>
      </c>
      <c r="AP39" s="299">
        <v>0</v>
      </c>
      <c r="AQ39" s="414">
        <f t="shared" si="16"/>
        <v>0</v>
      </c>
      <c r="AR39" s="300">
        <f>IF(AND(Simulador!$T$67=2,Simulador!$T$61=1),AL39,IF(AND(Simulador!$T$67=2,Simulador!$T$61=2),AM39,IF(AND(Simulador!$T$67=2,Simulador!$T$61=3),AN39,AO39)))</f>
        <v>0.0955</v>
      </c>
      <c r="AS39" s="281"/>
      <c r="AT39" s="70">
        <f t="shared" si="30"/>
        <v>0</v>
      </c>
      <c r="AU39" s="70">
        <f t="shared" si="18"/>
        <v>0</v>
      </c>
      <c r="AV39" s="71">
        <f t="shared" si="3"/>
        <v>0</v>
      </c>
      <c r="AW39" s="70">
        <f t="shared" si="4"/>
        <v>0</v>
      </c>
      <c r="AX39" s="70">
        <f t="shared" si="19"/>
        <v>0</v>
      </c>
      <c r="AY39" s="72">
        <f t="shared" si="5"/>
      </c>
      <c r="AZ39" s="70">
        <f>_xlfn.IFERROR(IF(Simulador!$U$29=1,0,IF($AT39&lt;=0.01,0,$AT39*Simulador!$AA$42)),0)+_xlfn.IFERROR(IF(Simulador!$U$29=1,0,IF($AT39&lt;=0.01,0,IF(Simulador!$D$22&gt;0,Simulador!$D$22,Simulador!$O$24)*Simulador!$AA$43)),0)</f>
        <v>0</v>
      </c>
      <c r="BA39" s="73">
        <f>IF(AT39&lt;=0,0,$BA$27)</f>
        <v>0</v>
      </c>
      <c r="BB39" s="70">
        <f t="shared" si="6"/>
        <v>0</v>
      </c>
      <c r="BC39">
        <f t="shared" si="20"/>
        <v>0</v>
      </c>
      <c r="BD39" s="431">
        <f t="shared" si="21"/>
      </c>
      <c r="BE39" s="432">
        <f t="shared" si="25"/>
        <v>0</v>
      </c>
      <c r="BF39" s="69">
        <v>25</v>
      </c>
      <c r="BG39" s="38"/>
      <c r="BJ39" s="69"/>
      <c r="BM39" s="432"/>
    </row>
    <row r="40" spans="1:65" ht="12">
      <c r="A40" s="531">
        <v>26</v>
      </c>
      <c r="B40" s="106">
        <f t="shared" si="22"/>
        <v>0</v>
      </c>
      <c r="C40" s="106"/>
      <c r="D40" s="107">
        <f>IF(B40+F40-D39&lt;=0,B40+F40,IF(AND(OR(Simulador!$U$38=2,Simulador!$U$38=7),J39=0),D39*(1+AA40),IF($AE$3=2,B40*AQ40,D39*(1+AA40))))</f>
        <v>0</v>
      </c>
      <c r="E40" s="107"/>
      <c r="F40" s="107">
        <f t="shared" si="0"/>
        <v>0</v>
      </c>
      <c r="G40" s="107"/>
      <c r="H40" s="107">
        <f t="shared" si="23"/>
        <v>0</v>
      </c>
      <c r="I40" s="108"/>
      <c r="J40" s="109"/>
      <c r="K40" s="108"/>
      <c r="L40" s="107">
        <f>IF(Simulador!$T$40=1,0,J40*Simulador!$W$38*1.16)</f>
        <v>0</v>
      </c>
      <c r="M40" s="107"/>
      <c r="N40" s="110">
        <f>IF(B40-H40=0,0,N38*(1+(Simulador!$AF$76)))</f>
        <v>0</v>
      </c>
      <c r="O40" s="13"/>
      <c r="P40" s="664">
        <f t="shared" si="1"/>
      </c>
      <c r="Q40" s="3"/>
      <c r="R40" s="107">
        <f t="shared" si="7"/>
        <v>0</v>
      </c>
      <c r="S40" s="107"/>
      <c r="T40" s="107">
        <f>_xlfn.IFERROR(IF(Simulador!$U$29=1,0,IF($B40&lt;=0,0,$B40*Simulador!$AA$42)),0)</f>
        <v>0</v>
      </c>
      <c r="U40" s="107"/>
      <c r="V40" s="107">
        <f>_xlfn.IFERROR(IF(Simulador!$U$29=1,0,IF($B40&lt;=0,0,IF(Simulador!$D$22&gt;0,Simulador!$D$22,Simulador!$O$24)*Simulador!$AA$43)),0)</f>
        <v>0</v>
      </c>
      <c r="W40" s="107"/>
      <c r="X40" s="107"/>
      <c r="Y40" s="107">
        <f t="shared" si="2"/>
        <v>0</v>
      </c>
      <c r="Z40" s="14"/>
      <c r="AA40" s="19"/>
      <c r="AB40" s="24"/>
      <c r="AC40" s="303">
        <v>2</v>
      </c>
      <c r="AD40" s="301">
        <v>2</v>
      </c>
      <c r="AE40" s="400">
        <f t="shared" si="8"/>
        <v>0</v>
      </c>
      <c r="AF40" s="279">
        <f t="shared" si="9"/>
        <v>0</v>
      </c>
      <c r="AG40" s="279">
        <f t="shared" si="10"/>
        <v>0</v>
      </c>
      <c r="AH40" s="418">
        <f t="shared" si="11"/>
        <v>0</v>
      </c>
      <c r="AI40" s="296">
        <f>IF(Simulador!$T$67=1,'Tabla de amortizacion'!AJ40,'Tabla de amortizacion'!AR40)</f>
        <v>0.1</v>
      </c>
      <c r="AJ40" s="297">
        <f>Simulador!$I$41</f>
        <v>0.1</v>
      </c>
      <c r="AK40" s="298">
        <f t="shared" si="12"/>
        <v>0</v>
      </c>
      <c r="AL40" s="297">
        <f>AL39</f>
        <v>0.0955</v>
      </c>
      <c r="AM40" s="297">
        <f aca="true" t="shared" si="31" ref="AM40:AM50">AM39</f>
        <v>0.0955</v>
      </c>
      <c r="AN40" s="520">
        <f aca="true" t="shared" si="32" ref="AN40:AN50">AN39</f>
        <v>0.0955</v>
      </c>
      <c r="AO40" s="520">
        <f aca="true" t="shared" si="33" ref="AO40:AO50">AO39</f>
        <v>0.0955</v>
      </c>
      <c r="AP40" s="299">
        <v>0</v>
      </c>
      <c r="AQ40" s="414">
        <f t="shared" si="16"/>
        <v>0</v>
      </c>
      <c r="AR40" s="300">
        <f>IF(AND(Simulador!$T$67=2,Simulador!$T$61=1),AL40,IF(AND(Simulador!$T$67=2,Simulador!$T$61=2),AM40,IF(AND(Simulador!$T$67=2,Simulador!$T$61=3),AN40,AO40)))</f>
        <v>0.0955</v>
      </c>
      <c r="AS40" s="281"/>
      <c r="AT40" s="70">
        <f t="shared" si="30"/>
        <v>0</v>
      </c>
      <c r="AU40" s="70">
        <f t="shared" si="18"/>
        <v>0</v>
      </c>
      <c r="AV40" s="71">
        <f t="shared" si="3"/>
        <v>0</v>
      </c>
      <c r="AW40" s="70">
        <f t="shared" si="4"/>
        <v>0</v>
      </c>
      <c r="AX40" s="70">
        <f t="shared" si="19"/>
        <v>0</v>
      </c>
      <c r="AY40" s="72">
        <f t="shared" si="5"/>
      </c>
      <c r="AZ40" s="70">
        <f>_xlfn.IFERROR(IF(Simulador!$U$29=1,0,IF($AT40&lt;=0.01,0,$AT40*Simulador!$AA$42)),0)+_xlfn.IFERROR(IF(Simulador!$U$29=1,0,IF($AT40&lt;=0.01,0,IF(Simulador!$D$22&gt;0,Simulador!$D$22,Simulador!$O$24)*Simulador!$AA$43)),0)</f>
        <v>0</v>
      </c>
      <c r="BA40" s="73"/>
      <c r="BB40" s="70">
        <f t="shared" si="6"/>
        <v>0</v>
      </c>
      <c r="BC40">
        <f t="shared" si="20"/>
        <v>0</v>
      </c>
      <c r="BD40" s="431">
        <f t="shared" si="21"/>
      </c>
      <c r="BE40" s="432">
        <f t="shared" si="25"/>
        <v>0</v>
      </c>
      <c r="BF40" s="69">
        <v>26</v>
      </c>
      <c r="BG40" s="38"/>
      <c r="BJ40" s="69"/>
      <c r="BM40" s="432"/>
    </row>
    <row r="41" spans="1:65" ht="12">
      <c r="A41" s="531">
        <v>27</v>
      </c>
      <c r="B41" s="106">
        <f t="shared" si="22"/>
        <v>0</v>
      </c>
      <c r="C41" s="106"/>
      <c r="D41" s="107">
        <f>IF(B41+F41-D40&lt;=0,B41+F41,IF(AND(OR(Simulador!$U$38=2,Simulador!$U$38=7),J40=0),D40*(1+AA41),IF($AE$3=2,B41*AQ41,D40*(1+AA41))))</f>
        <v>0</v>
      </c>
      <c r="E41" s="107"/>
      <c r="F41" s="107">
        <f t="shared" si="0"/>
        <v>0</v>
      </c>
      <c r="G41" s="107"/>
      <c r="H41" s="107">
        <f t="shared" si="23"/>
        <v>0</v>
      </c>
      <c r="I41" s="108"/>
      <c r="J41" s="109"/>
      <c r="K41" s="108"/>
      <c r="L41" s="107">
        <f>IF(Simulador!$T$40=1,0,J41*Simulador!$W$38*1.16)</f>
        <v>0</v>
      </c>
      <c r="M41" s="107"/>
      <c r="N41" s="111"/>
      <c r="O41" s="13"/>
      <c r="P41" s="664">
        <f t="shared" si="1"/>
      </c>
      <c r="Q41" s="3"/>
      <c r="R41" s="107">
        <f t="shared" si="7"/>
        <v>0</v>
      </c>
      <c r="S41" s="107"/>
      <c r="T41" s="107">
        <f>_xlfn.IFERROR(IF(Simulador!$U$29=1,0,IF($B41&lt;=0,0,$B41*Simulador!$AA$42)),0)</f>
        <v>0</v>
      </c>
      <c r="U41" s="107"/>
      <c r="V41" s="107">
        <f>_xlfn.IFERROR(IF(Simulador!$U$29=1,0,IF($B41&lt;=0,0,IF(Simulador!$D$22&gt;0,Simulador!$D$22,Simulador!$O$24)*Simulador!$AA$43)),0)</f>
        <v>0</v>
      </c>
      <c r="W41" s="107"/>
      <c r="X41" s="107"/>
      <c r="Y41" s="107">
        <f t="shared" si="2"/>
        <v>0</v>
      </c>
      <c r="Z41" s="14"/>
      <c r="AA41" s="19"/>
      <c r="AB41" s="24"/>
      <c r="AC41" s="303">
        <v>2</v>
      </c>
      <c r="AD41" s="301">
        <v>3</v>
      </c>
      <c r="AE41" s="400">
        <f t="shared" si="8"/>
        <v>0</v>
      </c>
      <c r="AF41" s="279">
        <f t="shared" si="9"/>
        <v>0</v>
      </c>
      <c r="AG41" s="279">
        <f t="shared" si="10"/>
        <v>0</v>
      </c>
      <c r="AH41" s="418">
        <f t="shared" si="11"/>
        <v>0</v>
      </c>
      <c r="AI41" s="296">
        <f>IF(Simulador!$T$67=1,'Tabla de amortizacion'!AJ41,'Tabla de amortizacion'!AR41)</f>
        <v>0.1</v>
      </c>
      <c r="AJ41" s="297">
        <f>Simulador!$I$41</f>
        <v>0.1</v>
      </c>
      <c r="AK41" s="298">
        <f t="shared" si="12"/>
        <v>0</v>
      </c>
      <c r="AL41" s="297">
        <f aca="true" t="shared" si="34" ref="AL41:AL50">AL40</f>
        <v>0.0955</v>
      </c>
      <c r="AM41" s="297">
        <f t="shared" si="31"/>
        <v>0.0955</v>
      </c>
      <c r="AN41" s="520">
        <f t="shared" si="32"/>
        <v>0.0955</v>
      </c>
      <c r="AO41" s="520">
        <f t="shared" si="33"/>
        <v>0.0955</v>
      </c>
      <c r="AP41" s="299">
        <v>0</v>
      </c>
      <c r="AQ41" s="414">
        <f t="shared" si="16"/>
        <v>0</v>
      </c>
      <c r="AR41" s="300">
        <f>IF(AND(Simulador!$T$67=2,Simulador!$T$61=1),AL41,IF(AND(Simulador!$T$67=2,Simulador!$T$61=2),AM41,IF(AND(Simulador!$T$67=2,Simulador!$T$61=3),AN41,AO41)))</f>
        <v>0.0955</v>
      </c>
      <c r="AS41" s="281"/>
      <c r="AT41" s="70">
        <f t="shared" si="30"/>
        <v>0</v>
      </c>
      <c r="AU41" s="70">
        <f t="shared" si="18"/>
        <v>0</v>
      </c>
      <c r="AV41" s="71">
        <f t="shared" si="3"/>
        <v>0</v>
      </c>
      <c r="AW41" s="70">
        <f t="shared" si="4"/>
        <v>0</v>
      </c>
      <c r="AX41" s="70">
        <f t="shared" si="19"/>
        <v>0</v>
      </c>
      <c r="AY41" s="72">
        <f t="shared" si="5"/>
      </c>
      <c r="AZ41" s="70">
        <f>_xlfn.IFERROR(IF(Simulador!$U$29=1,0,IF($AT41&lt;=0.01,0,$AT41*Simulador!$AA$42)),0)+_xlfn.IFERROR(IF(Simulador!$U$29=1,0,IF($AT41&lt;=0.01,0,IF(Simulador!$D$22&gt;0,Simulador!$D$22,Simulador!$O$24)*Simulador!$AA$43)),0)</f>
        <v>0</v>
      </c>
      <c r="BA41" s="73"/>
      <c r="BB41" s="70">
        <f t="shared" si="6"/>
        <v>0</v>
      </c>
      <c r="BC41">
        <f t="shared" si="20"/>
        <v>0</v>
      </c>
      <c r="BD41" s="431">
        <f t="shared" si="21"/>
      </c>
      <c r="BE41" s="432">
        <f t="shared" si="25"/>
        <v>0</v>
      </c>
      <c r="BF41" s="69">
        <v>27</v>
      </c>
      <c r="BG41" s="38"/>
      <c r="BJ41" s="69"/>
      <c r="BM41" s="432"/>
    </row>
    <row r="42" spans="1:65" ht="12">
      <c r="A42" s="531">
        <v>28</v>
      </c>
      <c r="B42" s="106">
        <f t="shared" si="22"/>
        <v>0</v>
      </c>
      <c r="C42" s="106"/>
      <c r="D42" s="107">
        <f>IF(B42+F42-D41&lt;=0,B42+F42,IF(AND(OR(Simulador!$U$38=2,Simulador!$U$38=7),J41=0),D41*(1+AA42),IF($AE$3=2,B42*AQ42,D41*(1+AA42))))</f>
        <v>0</v>
      </c>
      <c r="E42" s="107"/>
      <c r="F42" s="107">
        <f t="shared" si="0"/>
        <v>0</v>
      </c>
      <c r="G42" s="107"/>
      <c r="H42" s="107">
        <f t="shared" si="23"/>
        <v>0</v>
      </c>
      <c r="I42" s="108"/>
      <c r="J42" s="109"/>
      <c r="K42" s="108"/>
      <c r="L42" s="107">
        <f>IF(Simulador!$T$40=1,0,J42*Simulador!$W$38*1.16)</f>
        <v>0</v>
      </c>
      <c r="M42" s="107"/>
      <c r="N42" s="110">
        <f>IF(B42-H42=0,0,N40)</f>
        <v>0</v>
      </c>
      <c r="O42" s="13"/>
      <c r="P42" s="664">
        <f t="shared" si="1"/>
      </c>
      <c r="Q42" s="3"/>
      <c r="R42" s="107">
        <f t="shared" si="7"/>
        <v>0</v>
      </c>
      <c r="S42" s="107"/>
      <c r="T42" s="107">
        <f>_xlfn.IFERROR(IF(Simulador!$U$29=1,0,IF($B42&lt;=0,0,$B42*Simulador!$AA$42)),0)</f>
        <v>0</v>
      </c>
      <c r="U42" s="107"/>
      <c r="V42" s="107">
        <f>_xlfn.IFERROR(IF(Simulador!$U$29=1,0,IF($B42&lt;=0,0,IF(Simulador!$D$22&gt;0,Simulador!$D$22,Simulador!$O$24)*Simulador!$AA$43)),0)</f>
        <v>0</v>
      </c>
      <c r="W42" s="107"/>
      <c r="X42" s="107"/>
      <c r="Y42" s="107">
        <f t="shared" si="2"/>
        <v>0</v>
      </c>
      <c r="Z42" s="14"/>
      <c r="AA42" s="19"/>
      <c r="AB42" s="24"/>
      <c r="AC42" s="303">
        <v>2</v>
      </c>
      <c r="AD42" s="295">
        <v>4</v>
      </c>
      <c r="AE42" s="400">
        <f t="shared" si="8"/>
        <v>0</v>
      </c>
      <c r="AF42" s="279">
        <f t="shared" si="9"/>
        <v>0</v>
      </c>
      <c r="AG42" s="279">
        <f t="shared" si="10"/>
        <v>0</v>
      </c>
      <c r="AH42" s="418">
        <f t="shared" si="11"/>
        <v>0</v>
      </c>
      <c r="AI42" s="296">
        <f>IF(Simulador!$T$67=1,'Tabla de amortizacion'!AJ42,'Tabla de amortizacion'!AR42)</f>
        <v>0.1</v>
      </c>
      <c r="AJ42" s="297">
        <f>Simulador!$I$41</f>
        <v>0.1</v>
      </c>
      <c r="AK42" s="298">
        <f t="shared" si="12"/>
        <v>0</v>
      </c>
      <c r="AL42" s="297">
        <f t="shared" si="34"/>
        <v>0.0955</v>
      </c>
      <c r="AM42" s="297">
        <f t="shared" si="31"/>
        <v>0.0955</v>
      </c>
      <c r="AN42" s="520">
        <f t="shared" si="32"/>
        <v>0.0955</v>
      </c>
      <c r="AO42" s="520">
        <f t="shared" si="33"/>
        <v>0.0955</v>
      </c>
      <c r="AP42" s="299">
        <v>0</v>
      </c>
      <c r="AQ42" s="414">
        <f t="shared" si="16"/>
        <v>0</v>
      </c>
      <c r="AR42" s="300">
        <f>IF(AND(Simulador!$T$67=2,Simulador!$T$61=1),AL42,IF(AND(Simulador!$T$67=2,Simulador!$T$61=2),AM42,IF(AND(Simulador!$T$67=2,Simulador!$T$61=3),AN42,AO42)))</f>
        <v>0.0955</v>
      </c>
      <c r="AS42" s="281"/>
      <c r="AT42" s="70">
        <f t="shared" si="30"/>
        <v>0</v>
      </c>
      <c r="AU42" s="70">
        <f t="shared" si="18"/>
        <v>0</v>
      </c>
      <c r="AV42" s="71">
        <f t="shared" si="3"/>
        <v>0</v>
      </c>
      <c r="AW42" s="70">
        <f t="shared" si="4"/>
        <v>0</v>
      </c>
      <c r="AX42" s="70">
        <f t="shared" si="19"/>
        <v>0</v>
      </c>
      <c r="AY42" s="72">
        <f t="shared" si="5"/>
      </c>
      <c r="AZ42" s="70">
        <f>_xlfn.IFERROR(IF(Simulador!$U$29=1,0,IF($AT42&lt;=0.01,0,$AT42*Simulador!$AA$42)),0)+_xlfn.IFERROR(IF(Simulador!$U$29=1,0,IF($AT42&lt;=0.01,0,IF(Simulador!$D$22&gt;0,Simulador!$D$22,Simulador!$O$24)*Simulador!$AA$43)),0)</f>
        <v>0</v>
      </c>
      <c r="BA42" s="73"/>
      <c r="BB42" s="70">
        <f t="shared" si="6"/>
        <v>0</v>
      </c>
      <c r="BC42">
        <f t="shared" si="20"/>
        <v>0</v>
      </c>
      <c r="BD42" s="431">
        <f t="shared" si="21"/>
      </c>
      <c r="BE42" s="432">
        <f t="shared" si="25"/>
        <v>0</v>
      </c>
      <c r="BF42" s="69">
        <v>28</v>
      </c>
      <c r="BG42" s="38"/>
      <c r="BJ42" s="69"/>
      <c r="BM42" s="432"/>
    </row>
    <row r="43" spans="1:65" ht="12">
      <c r="A43" s="531">
        <v>29</v>
      </c>
      <c r="B43" s="106">
        <f t="shared" si="22"/>
        <v>0</v>
      </c>
      <c r="C43" s="106"/>
      <c r="D43" s="107">
        <f>IF(B43+F43-D42&lt;=0,B43+F43,IF(AND(OR(Simulador!$U$38=2,Simulador!$U$38=7),J42=0),D42*(1+AA43),IF($AE$3=2,B43*AQ43,D42*(1+AA43))))</f>
        <v>0</v>
      </c>
      <c r="E43" s="107"/>
      <c r="F43" s="107">
        <f t="shared" si="0"/>
        <v>0</v>
      </c>
      <c r="G43" s="107"/>
      <c r="H43" s="107">
        <f t="shared" si="23"/>
        <v>0</v>
      </c>
      <c r="I43" s="108"/>
      <c r="J43" s="109"/>
      <c r="K43" s="108"/>
      <c r="L43" s="107">
        <f>IF(Simulador!$T$40=1,0,J43*Simulador!$W$38*1.16)</f>
        <v>0</v>
      </c>
      <c r="M43" s="107"/>
      <c r="N43" s="111"/>
      <c r="O43" s="13"/>
      <c r="P43" s="664">
        <f t="shared" si="1"/>
      </c>
      <c r="Q43" s="3"/>
      <c r="R43" s="107">
        <f t="shared" si="7"/>
        <v>0</v>
      </c>
      <c r="S43" s="107"/>
      <c r="T43" s="107">
        <f>_xlfn.IFERROR(IF(Simulador!$U$29=1,0,IF($B43&lt;=0,0,$B43*Simulador!$AA$42)),0)</f>
        <v>0</v>
      </c>
      <c r="U43" s="107"/>
      <c r="V43" s="107">
        <f>_xlfn.IFERROR(IF(Simulador!$U$29=1,0,IF($B43&lt;=0,0,IF(Simulador!$D$22&gt;0,Simulador!$D$22,Simulador!$O$24)*Simulador!$AA$43)),0)</f>
        <v>0</v>
      </c>
      <c r="W43" s="107"/>
      <c r="X43" s="107"/>
      <c r="Y43" s="107">
        <f t="shared" si="2"/>
        <v>0</v>
      </c>
      <c r="Z43" s="14"/>
      <c r="AA43" s="19"/>
      <c r="AB43" s="24"/>
      <c r="AC43" s="303">
        <v>2</v>
      </c>
      <c r="AD43" s="295">
        <v>5</v>
      </c>
      <c r="AE43" s="400">
        <f t="shared" si="8"/>
        <v>0</v>
      </c>
      <c r="AF43" s="279">
        <f t="shared" si="9"/>
        <v>0</v>
      </c>
      <c r="AG43" s="279">
        <f t="shared" si="10"/>
        <v>0</v>
      </c>
      <c r="AH43" s="418">
        <f t="shared" si="11"/>
        <v>0</v>
      </c>
      <c r="AI43" s="296">
        <f>IF(Simulador!$T$67=1,'Tabla de amortizacion'!AJ43,'Tabla de amortizacion'!AR43)</f>
        <v>0.1</v>
      </c>
      <c r="AJ43" s="297">
        <f>Simulador!$I$41</f>
        <v>0.1</v>
      </c>
      <c r="AK43" s="298">
        <f t="shared" si="12"/>
        <v>0</v>
      </c>
      <c r="AL43" s="297">
        <f t="shared" si="34"/>
        <v>0.0955</v>
      </c>
      <c r="AM43" s="297">
        <f t="shared" si="31"/>
        <v>0.0955</v>
      </c>
      <c r="AN43" s="520">
        <f t="shared" si="32"/>
        <v>0.0955</v>
      </c>
      <c r="AO43" s="520">
        <f t="shared" si="33"/>
        <v>0.0955</v>
      </c>
      <c r="AP43" s="299">
        <v>0</v>
      </c>
      <c r="AQ43" s="414">
        <f t="shared" si="16"/>
        <v>0</v>
      </c>
      <c r="AR43" s="300">
        <f>IF(AND(Simulador!$T$67=2,Simulador!$T$61=1),AL43,IF(AND(Simulador!$T$67=2,Simulador!$T$61=2),AM43,IF(AND(Simulador!$T$67=2,Simulador!$T$61=3),AN43,AO43)))</f>
        <v>0.0955</v>
      </c>
      <c r="AS43" s="281"/>
      <c r="AT43" s="70">
        <f t="shared" si="30"/>
        <v>0</v>
      </c>
      <c r="AU43" s="70">
        <f t="shared" si="18"/>
        <v>0</v>
      </c>
      <c r="AV43" s="71">
        <f t="shared" si="3"/>
        <v>0</v>
      </c>
      <c r="AW43" s="70">
        <f t="shared" si="4"/>
        <v>0</v>
      </c>
      <c r="AX43" s="70">
        <f t="shared" si="19"/>
        <v>0</v>
      </c>
      <c r="AY43" s="72">
        <f t="shared" si="5"/>
      </c>
      <c r="AZ43" s="70">
        <f>_xlfn.IFERROR(IF(Simulador!$U$29=1,0,IF($AT43&lt;=0.01,0,$AT43*Simulador!$AA$42)),0)+_xlfn.IFERROR(IF(Simulador!$U$29=1,0,IF($AT43&lt;=0.01,0,IF(Simulador!$D$22&gt;0,Simulador!$D$22,Simulador!$O$24)*Simulador!$AA$43)),0)</f>
        <v>0</v>
      </c>
      <c r="BA43" s="73"/>
      <c r="BB43" s="70">
        <f t="shared" si="6"/>
        <v>0</v>
      </c>
      <c r="BC43">
        <f t="shared" si="20"/>
        <v>0</v>
      </c>
      <c r="BD43" s="431">
        <f t="shared" si="21"/>
      </c>
      <c r="BE43" s="432">
        <f t="shared" si="25"/>
        <v>0</v>
      </c>
      <c r="BF43" s="69">
        <v>29</v>
      </c>
      <c r="BG43" s="38"/>
      <c r="BJ43" s="69"/>
      <c r="BM43" s="432"/>
    </row>
    <row r="44" spans="1:65" ht="12">
      <c r="A44" s="531">
        <v>30</v>
      </c>
      <c r="B44" s="106">
        <f t="shared" si="22"/>
        <v>0</v>
      </c>
      <c r="C44" s="106"/>
      <c r="D44" s="107">
        <f>IF(B44+F44-D43&lt;=0,B44+F44,IF(AND(OR(Simulador!$U$38=2,Simulador!$U$38=7),J43=0),D43*(1+AA44),IF($AE$3=2,B44*AQ44,D43*(1+AA44))))</f>
        <v>0</v>
      </c>
      <c r="E44" s="107"/>
      <c r="F44" s="107">
        <f t="shared" si="0"/>
        <v>0</v>
      </c>
      <c r="G44" s="107"/>
      <c r="H44" s="107">
        <f t="shared" si="23"/>
        <v>0</v>
      </c>
      <c r="I44" s="108"/>
      <c r="J44" s="109"/>
      <c r="K44" s="108"/>
      <c r="L44" s="107">
        <f>IF(Simulador!$T$40=1,0,J44*Simulador!$W$38*1.16)</f>
        <v>0</v>
      </c>
      <c r="M44" s="107"/>
      <c r="N44" s="110">
        <f>IF(B44-H44=0,0,N42)</f>
        <v>0</v>
      </c>
      <c r="O44" s="13"/>
      <c r="P44" s="664">
        <f t="shared" si="1"/>
      </c>
      <c r="Q44" s="3"/>
      <c r="R44" s="107">
        <f t="shared" si="7"/>
        <v>0</v>
      </c>
      <c r="S44" s="107"/>
      <c r="T44" s="107">
        <f>_xlfn.IFERROR(IF(Simulador!$U$29=1,0,IF($B44&lt;=0,0,$B44*Simulador!$AA$42)),0)</f>
        <v>0</v>
      </c>
      <c r="U44" s="107"/>
      <c r="V44" s="107">
        <f>_xlfn.IFERROR(IF(Simulador!$U$29=1,0,IF($B44&lt;=0,0,IF(Simulador!$D$22&gt;0,Simulador!$D$22,Simulador!$O$24)*Simulador!$AA$43)),0)</f>
        <v>0</v>
      </c>
      <c r="W44" s="107"/>
      <c r="X44" s="107"/>
      <c r="Y44" s="107">
        <f t="shared" si="2"/>
        <v>0</v>
      </c>
      <c r="Z44" s="14"/>
      <c r="AA44" s="19"/>
      <c r="AB44" s="24"/>
      <c r="AC44" s="303">
        <v>2</v>
      </c>
      <c r="AD44" s="295">
        <v>6</v>
      </c>
      <c r="AE44" s="400">
        <f t="shared" si="8"/>
        <v>0</v>
      </c>
      <c r="AF44" s="279">
        <f t="shared" si="9"/>
        <v>0</v>
      </c>
      <c r="AG44" s="279">
        <f t="shared" si="10"/>
        <v>0</v>
      </c>
      <c r="AH44" s="418">
        <f t="shared" si="11"/>
        <v>0</v>
      </c>
      <c r="AI44" s="296">
        <f>IF(Simulador!$T$67=1,'Tabla de amortizacion'!AJ44,'Tabla de amortizacion'!AR44)</f>
        <v>0.1</v>
      </c>
      <c r="AJ44" s="297">
        <f>Simulador!$I$41</f>
        <v>0.1</v>
      </c>
      <c r="AK44" s="298">
        <f t="shared" si="12"/>
        <v>0</v>
      </c>
      <c r="AL44" s="297">
        <f t="shared" si="34"/>
        <v>0.0955</v>
      </c>
      <c r="AM44" s="297">
        <f t="shared" si="31"/>
        <v>0.0955</v>
      </c>
      <c r="AN44" s="520">
        <f t="shared" si="32"/>
        <v>0.0955</v>
      </c>
      <c r="AO44" s="520">
        <f t="shared" si="33"/>
        <v>0.0955</v>
      </c>
      <c r="AP44" s="299">
        <v>0</v>
      </c>
      <c r="AQ44" s="414">
        <f t="shared" si="16"/>
        <v>0</v>
      </c>
      <c r="AR44" s="300">
        <f>IF(AND(Simulador!$T$67=2,Simulador!$T$61=1),AL44,IF(AND(Simulador!$T$67=2,Simulador!$T$61=2),AM44,IF(AND(Simulador!$T$67=2,Simulador!$T$61=3),AN44,AO44)))</f>
        <v>0.0955</v>
      </c>
      <c r="AS44" s="281"/>
      <c r="AT44" s="70">
        <f t="shared" si="30"/>
        <v>0</v>
      </c>
      <c r="AU44" s="70">
        <f t="shared" si="18"/>
        <v>0</v>
      </c>
      <c r="AV44" s="71">
        <f t="shared" si="3"/>
        <v>0</v>
      </c>
      <c r="AW44" s="70">
        <f t="shared" si="4"/>
        <v>0</v>
      </c>
      <c r="AX44" s="70">
        <f t="shared" si="19"/>
        <v>0</v>
      </c>
      <c r="AY44" s="72">
        <f t="shared" si="5"/>
      </c>
      <c r="AZ44" s="70">
        <f>_xlfn.IFERROR(IF(Simulador!$U$29=1,0,IF($AT44&lt;=0.01,0,$AT44*Simulador!$AA$42)),0)+_xlfn.IFERROR(IF(Simulador!$U$29=1,0,IF($AT44&lt;=0.01,0,IF(Simulador!$D$22&gt;0,Simulador!$D$22,Simulador!$O$24)*Simulador!$AA$43)),0)</f>
        <v>0</v>
      </c>
      <c r="BA44" s="73"/>
      <c r="BB44" s="70">
        <f t="shared" si="6"/>
        <v>0</v>
      </c>
      <c r="BC44">
        <f t="shared" si="20"/>
        <v>0</v>
      </c>
      <c r="BD44" s="431">
        <f t="shared" si="21"/>
      </c>
      <c r="BE44" s="432">
        <f t="shared" si="25"/>
        <v>0</v>
      </c>
      <c r="BF44" s="69">
        <v>30</v>
      </c>
      <c r="BG44" s="38"/>
      <c r="BJ44" s="69"/>
      <c r="BM44" s="432"/>
    </row>
    <row r="45" spans="1:65" ht="12">
      <c r="A45" s="531">
        <v>31</v>
      </c>
      <c r="B45" s="106">
        <f t="shared" si="22"/>
        <v>0</v>
      </c>
      <c r="C45" s="106"/>
      <c r="D45" s="107">
        <f>IF(B45+F45-D44&lt;=0,B45+F45,IF(AND(OR(Simulador!$U$38=2,Simulador!$U$38=7),J44=0),D44*(1+AA45),IF($AE$3=2,B45*AQ45,D44*(1+AA45))))</f>
        <v>0</v>
      </c>
      <c r="E45" s="107"/>
      <c r="F45" s="107">
        <f t="shared" si="0"/>
        <v>0</v>
      </c>
      <c r="G45" s="107"/>
      <c r="H45" s="107">
        <f t="shared" si="23"/>
        <v>0</v>
      </c>
      <c r="I45" s="108"/>
      <c r="J45" s="109"/>
      <c r="K45" s="108"/>
      <c r="L45" s="107">
        <f>IF(Simulador!$T$40=1,0,J45*Simulador!$W$38*1.16)</f>
        <v>0</v>
      </c>
      <c r="M45" s="107"/>
      <c r="N45" s="111"/>
      <c r="O45" s="13"/>
      <c r="P45" s="664">
        <f t="shared" si="1"/>
      </c>
      <c r="Q45" s="3"/>
      <c r="R45" s="107">
        <f t="shared" si="7"/>
        <v>0</v>
      </c>
      <c r="S45" s="107"/>
      <c r="T45" s="107">
        <f>_xlfn.IFERROR(IF(Simulador!$U$29=1,0,IF($B45&lt;=0,0,$B45*Simulador!$AA$42)),0)</f>
        <v>0</v>
      </c>
      <c r="U45" s="107"/>
      <c r="V45" s="107">
        <f>_xlfn.IFERROR(IF(Simulador!$U$29=1,0,IF($B45&lt;=0,0,IF(Simulador!$D$22&gt;0,Simulador!$D$22,Simulador!$O$24)*Simulador!$AA$43)),0)</f>
        <v>0</v>
      </c>
      <c r="W45" s="107"/>
      <c r="X45" s="107"/>
      <c r="Y45" s="107">
        <f t="shared" si="2"/>
        <v>0</v>
      </c>
      <c r="Z45" s="14"/>
      <c r="AA45" s="19"/>
      <c r="AB45" s="24"/>
      <c r="AC45" s="303">
        <v>2</v>
      </c>
      <c r="AD45" s="295">
        <v>7</v>
      </c>
      <c r="AE45" s="400">
        <f t="shared" si="8"/>
        <v>0</v>
      </c>
      <c r="AF45" s="279">
        <f t="shared" si="9"/>
        <v>0</v>
      </c>
      <c r="AG45" s="279">
        <f t="shared" si="10"/>
        <v>0</v>
      </c>
      <c r="AH45" s="418">
        <f t="shared" si="11"/>
        <v>0</v>
      </c>
      <c r="AI45" s="296">
        <f>IF(Simulador!$T$67=1,'Tabla de amortizacion'!AJ45,'Tabla de amortizacion'!AR45)</f>
        <v>0.1</v>
      </c>
      <c r="AJ45" s="297">
        <f>Simulador!$I$41</f>
        <v>0.1</v>
      </c>
      <c r="AK45" s="298">
        <f t="shared" si="12"/>
        <v>0</v>
      </c>
      <c r="AL45" s="297">
        <f t="shared" si="34"/>
        <v>0.0955</v>
      </c>
      <c r="AM45" s="297">
        <f t="shared" si="31"/>
        <v>0.0955</v>
      </c>
      <c r="AN45" s="520">
        <f t="shared" si="32"/>
        <v>0.0955</v>
      </c>
      <c r="AO45" s="520">
        <f t="shared" si="33"/>
        <v>0.0955</v>
      </c>
      <c r="AP45" s="299">
        <v>0</v>
      </c>
      <c r="AQ45" s="414">
        <f t="shared" si="16"/>
        <v>0</v>
      </c>
      <c r="AR45" s="300">
        <f>IF(AND(Simulador!$T$67=2,Simulador!$T$61=1),AL45,IF(AND(Simulador!$T$67=2,Simulador!$T$61=2),AM45,IF(AND(Simulador!$T$67=2,Simulador!$T$61=3),AN45,AO45)))</f>
        <v>0.0955</v>
      </c>
      <c r="AS45" s="281"/>
      <c r="AT45" s="70">
        <f t="shared" si="30"/>
        <v>0</v>
      </c>
      <c r="AU45" s="70">
        <f t="shared" si="18"/>
        <v>0</v>
      </c>
      <c r="AV45" s="71">
        <f t="shared" si="3"/>
        <v>0</v>
      </c>
      <c r="AW45" s="70">
        <f t="shared" si="4"/>
        <v>0</v>
      </c>
      <c r="AX45" s="70">
        <f t="shared" si="19"/>
        <v>0</v>
      </c>
      <c r="AY45" s="72">
        <f t="shared" si="5"/>
      </c>
      <c r="AZ45" s="70">
        <f>_xlfn.IFERROR(IF(Simulador!$U$29=1,0,IF($AT45&lt;=0.01,0,$AT45*Simulador!$AA$42)),0)+_xlfn.IFERROR(IF(Simulador!$U$29=1,0,IF($AT45&lt;=0.01,0,IF(Simulador!$D$22&gt;0,Simulador!$D$22,Simulador!$O$24)*Simulador!$AA$43)),0)</f>
        <v>0</v>
      </c>
      <c r="BA45" s="73"/>
      <c r="BB45" s="70">
        <f t="shared" si="6"/>
        <v>0</v>
      </c>
      <c r="BC45">
        <f t="shared" si="20"/>
        <v>0</v>
      </c>
      <c r="BD45" s="431">
        <f t="shared" si="21"/>
      </c>
      <c r="BE45" s="432">
        <f t="shared" si="25"/>
        <v>0</v>
      </c>
      <c r="BF45" s="69">
        <v>31</v>
      </c>
      <c r="BG45" s="38"/>
      <c r="BJ45" s="69"/>
      <c r="BM45" s="432"/>
    </row>
    <row r="46" spans="1:65" ht="12">
      <c r="A46" s="531">
        <v>32</v>
      </c>
      <c r="B46" s="106">
        <f t="shared" si="22"/>
        <v>0</v>
      </c>
      <c r="C46" s="106"/>
      <c r="D46" s="107">
        <f>IF(B46+F46-D45&lt;=0,B46+F46,IF(AND(OR(Simulador!$U$38=2,Simulador!$U$38=7),J45=0),D45*(1+AA46),IF($AE$3=2,B46*AQ46,D45*(1+AA46))))</f>
        <v>0</v>
      </c>
      <c r="E46" s="107"/>
      <c r="F46" s="107">
        <f t="shared" si="0"/>
        <v>0</v>
      </c>
      <c r="G46" s="107"/>
      <c r="H46" s="107">
        <f t="shared" si="23"/>
        <v>0</v>
      </c>
      <c r="I46" s="108"/>
      <c r="J46" s="109"/>
      <c r="K46" s="108"/>
      <c r="L46" s="107">
        <f>IF(Simulador!$T$40=1,0,J46*Simulador!$W$38*1.16)</f>
        <v>0</v>
      </c>
      <c r="M46" s="107"/>
      <c r="N46" s="110">
        <f>IF(B46-H46=0,0,N44)</f>
        <v>0</v>
      </c>
      <c r="O46" s="13"/>
      <c r="P46" s="664">
        <f t="shared" si="1"/>
      </c>
      <c r="Q46" s="3"/>
      <c r="R46" s="107">
        <f t="shared" si="7"/>
        <v>0</v>
      </c>
      <c r="S46" s="107"/>
      <c r="T46" s="107">
        <f>_xlfn.IFERROR(IF(Simulador!$U$29=1,0,IF($B46&lt;=0,0,$B46*Simulador!$AA$42)),0)</f>
        <v>0</v>
      </c>
      <c r="U46" s="107"/>
      <c r="V46" s="107">
        <f>_xlfn.IFERROR(IF(Simulador!$U$29=1,0,IF($B46&lt;=0,0,IF(Simulador!$D$22&gt;0,Simulador!$D$22,Simulador!$O$24)*Simulador!$AA$43)),0)</f>
        <v>0</v>
      </c>
      <c r="W46" s="107"/>
      <c r="X46" s="107"/>
      <c r="Y46" s="107">
        <f t="shared" si="2"/>
        <v>0</v>
      </c>
      <c r="Z46" s="14"/>
      <c r="AA46" s="19"/>
      <c r="AB46" s="24"/>
      <c r="AC46" s="303">
        <v>2</v>
      </c>
      <c r="AD46" s="295">
        <v>8</v>
      </c>
      <c r="AE46" s="400">
        <f t="shared" si="8"/>
        <v>0</v>
      </c>
      <c r="AF46" s="279">
        <f t="shared" si="9"/>
        <v>0</v>
      </c>
      <c r="AG46" s="279">
        <f t="shared" si="10"/>
        <v>0</v>
      </c>
      <c r="AH46" s="418">
        <f t="shared" si="11"/>
        <v>0</v>
      </c>
      <c r="AI46" s="296">
        <f>IF(Simulador!$T$67=1,'Tabla de amortizacion'!AJ46,'Tabla de amortizacion'!AR46)</f>
        <v>0.1</v>
      </c>
      <c r="AJ46" s="297">
        <f>Simulador!$I$41</f>
        <v>0.1</v>
      </c>
      <c r="AK46" s="298">
        <f t="shared" si="12"/>
        <v>0</v>
      </c>
      <c r="AL46" s="297">
        <f t="shared" si="34"/>
        <v>0.0955</v>
      </c>
      <c r="AM46" s="297">
        <f t="shared" si="31"/>
        <v>0.0955</v>
      </c>
      <c r="AN46" s="520">
        <f t="shared" si="32"/>
        <v>0.0955</v>
      </c>
      <c r="AO46" s="520">
        <f t="shared" si="33"/>
        <v>0.0955</v>
      </c>
      <c r="AP46" s="299">
        <v>0</v>
      </c>
      <c r="AQ46" s="414">
        <f t="shared" si="16"/>
        <v>0</v>
      </c>
      <c r="AR46" s="300">
        <f>IF(AND(Simulador!$T$67=2,Simulador!$T$61=1),AL46,IF(AND(Simulador!$T$67=2,Simulador!$T$61=2),AM46,IF(AND(Simulador!$T$67=2,Simulador!$T$61=3),AN46,AO46)))</f>
        <v>0.0955</v>
      </c>
      <c r="AS46" s="281"/>
      <c r="AT46" s="70">
        <f t="shared" si="30"/>
        <v>0</v>
      </c>
      <c r="AU46" s="70">
        <f t="shared" si="18"/>
        <v>0</v>
      </c>
      <c r="AV46" s="71">
        <f t="shared" si="3"/>
        <v>0</v>
      </c>
      <c r="AW46" s="70">
        <f t="shared" si="4"/>
        <v>0</v>
      </c>
      <c r="AX46" s="70">
        <f t="shared" si="19"/>
        <v>0</v>
      </c>
      <c r="AY46" s="72">
        <f t="shared" si="5"/>
      </c>
      <c r="AZ46" s="70">
        <f>_xlfn.IFERROR(IF(Simulador!$U$29=1,0,IF($AT46&lt;=0.01,0,$AT46*Simulador!$AA$42)),0)+_xlfn.IFERROR(IF(Simulador!$U$29=1,0,IF($AT46&lt;=0.01,0,IF(Simulador!$D$22&gt;0,Simulador!$D$22,Simulador!$O$24)*Simulador!$AA$43)),0)</f>
        <v>0</v>
      </c>
      <c r="BA46" s="73"/>
      <c r="BB46" s="70">
        <f t="shared" si="6"/>
        <v>0</v>
      </c>
      <c r="BC46">
        <f t="shared" si="20"/>
        <v>0</v>
      </c>
      <c r="BD46" s="431">
        <f t="shared" si="21"/>
      </c>
      <c r="BE46" s="432">
        <f t="shared" si="25"/>
        <v>0</v>
      </c>
      <c r="BF46" s="69">
        <v>32</v>
      </c>
      <c r="BG46" s="38"/>
      <c r="BJ46" s="69"/>
      <c r="BM46" s="432"/>
    </row>
    <row r="47" spans="1:65" ht="12">
      <c r="A47" s="531">
        <v>33</v>
      </c>
      <c r="B47" s="106">
        <f t="shared" si="22"/>
        <v>0</v>
      </c>
      <c r="C47" s="106"/>
      <c r="D47" s="107">
        <f>IF(B47+F47-D46&lt;=0,B47+F47,IF(AND(OR(Simulador!$U$38=2,Simulador!$U$38=7),J46=0),D46*(1+AA47),IF($AE$3=2,B47*AQ47,D46*(1+AA47))))</f>
        <v>0</v>
      </c>
      <c r="E47" s="107"/>
      <c r="F47" s="107">
        <f t="shared" si="0"/>
        <v>0</v>
      </c>
      <c r="G47" s="107"/>
      <c r="H47" s="107">
        <f t="shared" si="23"/>
        <v>0</v>
      </c>
      <c r="I47" s="108"/>
      <c r="J47" s="109"/>
      <c r="K47" s="108"/>
      <c r="L47" s="107">
        <f>IF(Simulador!$T$40=1,0,J47*Simulador!$W$38*1.16)</f>
        <v>0</v>
      </c>
      <c r="M47" s="107"/>
      <c r="N47" s="111"/>
      <c r="O47" s="13"/>
      <c r="P47" s="664">
        <f t="shared" si="1"/>
      </c>
      <c r="Q47" s="3"/>
      <c r="R47" s="107">
        <f t="shared" si="7"/>
        <v>0</v>
      </c>
      <c r="S47" s="107"/>
      <c r="T47" s="107">
        <f>_xlfn.IFERROR(IF(Simulador!$U$29=1,0,IF($B47&lt;=0,0,$B47*Simulador!$AA$42)),0)</f>
        <v>0</v>
      </c>
      <c r="U47" s="107"/>
      <c r="V47" s="107">
        <f>_xlfn.IFERROR(IF(Simulador!$U$29=1,0,IF($B47&lt;=0,0,IF(Simulador!$D$22&gt;0,Simulador!$D$22,Simulador!$O$24)*Simulador!$AA$43)),0)</f>
        <v>0</v>
      </c>
      <c r="W47" s="107"/>
      <c r="X47" s="107"/>
      <c r="Y47" s="107">
        <f t="shared" si="2"/>
        <v>0</v>
      </c>
      <c r="Z47" s="14"/>
      <c r="AA47" s="19"/>
      <c r="AB47" s="24"/>
      <c r="AC47" s="303">
        <v>2</v>
      </c>
      <c r="AD47" s="302">
        <v>9</v>
      </c>
      <c r="AE47" s="400">
        <f t="shared" si="8"/>
        <v>0</v>
      </c>
      <c r="AF47" s="279">
        <f t="shared" si="9"/>
        <v>0</v>
      </c>
      <c r="AG47" s="279">
        <f t="shared" si="10"/>
        <v>0</v>
      </c>
      <c r="AH47" s="418">
        <f t="shared" si="11"/>
        <v>0</v>
      </c>
      <c r="AI47" s="296">
        <f>IF(Simulador!$T$67=1,'Tabla de amortizacion'!AJ47,'Tabla de amortizacion'!AR47)</f>
        <v>0.1</v>
      </c>
      <c r="AJ47" s="297">
        <f>Simulador!$I$41</f>
        <v>0.1</v>
      </c>
      <c r="AK47" s="298">
        <f t="shared" si="12"/>
        <v>0</v>
      </c>
      <c r="AL47" s="297">
        <f t="shared" si="34"/>
        <v>0.0955</v>
      </c>
      <c r="AM47" s="297">
        <f t="shared" si="31"/>
        <v>0.0955</v>
      </c>
      <c r="AN47" s="520">
        <f t="shared" si="32"/>
        <v>0.0955</v>
      </c>
      <c r="AO47" s="520">
        <f t="shared" si="33"/>
        <v>0.0955</v>
      </c>
      <c r="AP47" s="299">
        <v>0</v>
      </c>
      <c r="AQ47" s="414">
        <f t="shared" si="16"/>
        <v>0</v>
      </c>
      <c r="AR47" s="300">
        <f>IF(AND(Simulador!$T$67=2,Simulador!$T$61=1),AL47,IF(AND(Simulador!$T$67=2,Simulador!$T$61=2),AM47,IF(AND(Simulador!$T$67=2,Simulador!$T$61=3),AN47,AO47)))</f>
        <v>0.0955</v>
      </c>
      <c r="AS47" s="281"/>
      <c r="AT47" s="70">
        <f t="shared" si="30"/>
        <v>0</v>
      </c>
      <c r="AU47" s="70">
        <f t="shared" si="18"/>
        <v>0</v>
      </c>
      <c r="AV47" s="71">
        <f t="shared" si="3"/>
        <v>0</v>
      </c>
      <c r="AW47" s="70">
        <f t="shared" si="4"/>
        <v>0</v>
      </c>
      <c r="AX47" s="70">
        <f t="shared" si="19"/>
        <v>0</v>
      </c>
      <c r="AY47" s="72">
        <f t="shared" si="5"/>
      </c>
      <c r="AZ47" s="70">
        <f>_xlfn.IFERROR(IF(Simulador!$U$29=1,0,IF($AT47&lt;=0.01,0,$AT47*Simulador!$AA$42)),0)+_xlfn.IFERROR(IF(Simulador!$U$29=1,0,IF($AT47&lt;=0.01,0,IF(Simulador!$D$22&gt;0,Simulador!$D$22,Simulador!$O$24)*Simulador!$AA$43)),0)</f>
        <v>0</v>
      </c>
      <c r="BA47" s="73"/>
      <c r="BB47" s="70">
        <f t="shared" si="6"/>
        <v>0</v>
      </c>
      <c r="BC47">
        <f t="shared" si="20"/>
        <v>0</v>
      </c>
      <c r="BD47" s="431">
        <f t="shared" si="21"/>
      </c>
      <c r="BE47" s="432">
        <f t="shared" si="25"/>
        <v>0</v>
      </c>
      <c r="BF47" s="69">
        <v>33</v>
      </c>
      <c r="BG47" s="38"/>
      <c r="BJ47" s="69"/>
      <c r="BM47" s="432"/>
    </row>
    <row r="48" spans="1:65" ht="12">
      <c r="A48" s="531">
        <v>34</v>
      </c>
      <c r="B48" s="106">
        <f t="shared" si="22"/>
        <v>0</v>
      </c>
      <c r="C48" s="106"/>
      <c r="D48" s="107">
        <f>IF(B48+F48-D47&lt;=0,B48+F48,IF(AND(OR(Simulador!$U$38=2,Simulador!$U$38=7),J47=0),D47*(1+AA48),IF($AE$3=2,B48*AQ48,D47*(1+AA48))))</f>
        <v>0</v>
      </c>
      <c r="E48" s="107"/>
      <c r="F48" s="107">
        <f t="shared" si="0"/>
        <v>0</v>
      </c>
      <c r="G48" s="107"/>
      <c r="H48" s="107">
        <f t="shared" si="23"/>
        <v>0</v>
      </c>
      <c r="I48" s="108"/>
      <c r="J48" s="109"/>
      <c r="K48" s="108"/>
      <c r="L48" s="107">
        <f>IF(Simulador!$T$40=1,0,J48*Simulador!$W$38*1.16)</f>
        <v>0</v>
      </c>
      <c r="M48" s="107"/>
      <c r="N48" s="110">
        <f>IF(B48-H48=0,0,N46)</f>
        <v>0</v>
      </c>
      <c r="O48" s="13"/>
      <c r="P48" s="664">
        <f t="shared" si="1"/>
      </c>
      <c r="Q48" s="3"/>
      <c r="R48" s="107">
        <f t="shared" si="7"/>
        <v>0</v>
      </c>
      <c r="S48" s="107"/>
      <c r="T48" s="107">
        <f>_xlfn.IFERROR(IF(Simulador!$U$29=1,0,IF($B48&lt;=0,0,$B48*Simulador!$AA$42)),0)</f>
        <v>0</v>
      </c>
      <c r="U48" s="107"/>
      <c r="V48" s="107">
        <f>_xlfn.IFERROR(IF(Simulador!$U$29=1,0,IF($B48&lt;=0,0,IF(Simulador!$D$22&gt;0,Simulador!$D$22,Simulador!$O$24)*Simulador!$AA$43)),0)</f>
        <v>0</v>
      </c>
      <c r="W48" s="107"/>
      <c r="X48" s="107"/>
      <c r="Y48" s="107">
        <f t="shared" si="2"/>
        <v>0</v>
      </c>
      <c r="Z48" s="14"/>
      <c r="AA48" s="19"/>
      <c r="AB48" s="24"/>
      <c r="AC48" s="303">
        <v>2</v>
      </c>
      <c r="AD48" s="302">
        <v>10</v>
      </c>
      <c r="AE48" s="400">
        <f t="shared" si="8"/>
        <v>0</v>
      </c>
      <c r="AF48" s="279">
        <f t="shared" si="9"/>
        <v>0</v>
      </c>
      <c r="AG48" s="279">
        <f t="shared" si="10"/>
        <v>0</v>
      </c>
      <c r="AH48" s="418">
        <f t="shared" si="11"/>
        <v>0</v>
      </c>
      <c r="AI48" s="296">
        <f>IF(Simulador!$T$67=1,'Tabla de amortizacion'!AJ48,'Tabla de amortizacion'!AR48)</f>
        <v>0.1</v>
      </c>
      <c r="AJ48" s="297">
        <f>Simulador!$I$41</f>
        <v>0.1</v>
      </c>
      <c r="AK48" s="298">
        <f t="shared" si="12"/>
        <v>0</v>
      </c>
      <c r="AL48" s="297">
        <f t="shared" si="34"/>
        <v>0.0955</v>
      </c>
      <c r="AM48" s="297">
        <f t="shared" si="31"/>
        <v>0.0955</v>
      </c>
      <c r="AN48" s="520">
        <f t="shared" si="32"/>
        <v>0.0955</v>
      </c>
      <c r="AO48" s="520">
        <f t="shared" si="33"/>
        <v>0.0955</v>
      </c>
      <c r="AP48" s="299">
        <v>0</v>
      </c>
      <c r="AQ48" s="414">
        <f t="shared" si="16"/>
        <v>0</v>
      </c>
      <c r="AR48" s="300">
        <f>IF(AND(Simulador!$T$67=2,Simulador!$T$61=1),AL48,IF(AND(Simulador!$T$67=2,Simulador!$T$61=2),AM48,IF(AND(Simulador!$T$67=2,Simulador!$T$61=3),AN48,AO48)))</f>
        <v>0.0955</v>
      </c>
      <c r="AS48" s="281"/>
      <c r="AT48" s="70">
        <f t="shared" si="30"/>
        <v>0</v>
      </c>
      <c r="AU48" s="70">
        <f t="shared" si="18"/>
        <v>0</v>
      </c>
      <c r="AV48" s="71">
        <f t="shared" si="3"/>
        <v>0</v>
      </c>
      <c r="AW48" s="70">
        <f t="shared" si="4"/>
        <v>0</v>
      </c>
      <c r="AX48" s="70">
        <f t="shared" si="19"/>
        <v>0</v>
      </c>
      <c r="AY48" s="72">
        <f t="shared" si="5"/>
      </c>
      <c r="AZ48" s="70">
        <f>_xlfn.IFERROR(IF(Simulador!$U$29=1,0,IF($AT48&lt;=0.01,0,$AT48*Simulador!$AA$42)),0)+_xlfn.IFERROR(IF(Simulador!$U$29=1,0,IF($AT48&lt;=0.01,0,IF(Simulador!$D$22&gt;0,Simulador!$D$22,Simulador!$O$24)*Simulador!$AA$43)),0)</f>
        <v>0</v>
      </c>
      <c r="BA48" s="73"/>
      <c r="BB48" s="70">
        <f t="shared" si="6"/>
        <v>0</v>
      </c>
      <c r="BC48">
        <f t="shared" si="20"/>
        <v>0</v>
      </c>
      <c r="BD48" s="431">
        <f t="shared" si="21"/>
      </c>
      <c r="BE48" s="432">
        <f t="shared" si="25"/>
        <v>0</v>
      </c>
      <c r="BF48" s="69">
        <v>34</v>
      </c>
      <c r="BG48" s="38"/>
      <c r="BJ48" s="69"/>
      <c r="BM48" s="432"/>
    </row>
    <row r="49" spans="1:65" ht="12">
      <c r="A49" s="531">
        <v>35</v>
      </c>
      <c r="B49" s="106">
        <f t="shared" si="22"/>
        <v>0</v>
      </c>
      <c r="C49" s="106"/>
      <c r="D49" s="107">
        <f>IF(B49+F49-D48&lt;=0,B49+F49,IF(AND(OR(Simulador!$U$38=2,Simulador!$U$38=7),J48=0),D48*(1+AA49),IF($AE$3=2,B49*AQ49,D48*(1+AA49))))</f>
        <v>0</v>
      </c>
      <c r="E49" s="107"/>
      <c r="F49" s="107">
        <f t="shared" si="0"/>
        <v>0</v>
      </c>
      <c r="G49" s="107"/>
      <c r="H49" s="107">
        <f t="shared" si="23"/>
        <v>0</v>
      </c>
      <c r="I49" s="108"/>
      <c r="J49" s="109"/>
      <c r="K49" s="108"/>
      <c r="L49" s="107">
        <f>IF(Simulador!$T$40=1,0,J49*Simulador!$W$38*1.16)</f>
        <v>0</v>
      </c>
      <c r="M49" s="107"/>
      <c r="N49" s="111"/>
      <c r="O49" s="13"/>
      <c r="P49" s="664">
        <f t="shared" si="1"/>
      </c>
      <c r="Q49" s="3"/>
      <c r="R49" s="107">
        <f t="shared" si="7"/>
        <v>0</v>
      </c>
      <c r="S49" s="107"/>
      <c r="T49" s="107">
        <f>_xlfn.IFERROR(IF(Simulador!$U$29=1,0,IF($B49&lt;=0,0,$B49*Simulador!$AA$42)),0)</f>
        <v>0</v>
      </c>
      <c r="U49" s="107"/>
      <c r="V49" s="107">
        <f>_xlfn.IFERROR(IF(Simulador!$U$29=1,0,IF($B49&lt;=0,0,IF(Simulador!$D$22&gt;0,Simulador!$D$22,Simulador!$O$24)*Simulador!$AA$43)),0)</f>
        <v>0</v>
      </c>
      <c r="W49" s="107"/>
      <c r="X49" s="107"/>
      <c r="Y49" s="107">
        <f t="shared" si="2"/>
        <v>0</v>
      </c>
      <c r="Z49" s="14"/>
      <c r="AA49" s="19"/>
      <c r="AB49" s="24"/>
      <c r="AC49" s="303">
        <v>2</v>
      </c>
      <c r="AD49" s="295">
        <v>11</v>
      </c>
      <c r="AE49" s="400">
        <f t="shared" si="8"/>
        <v>0</v>
      </c>
      <c r="AF49" s="279">
        <f t="shared" si="9"/>
        <v>0</v>
      </c>
      <c r="AG49" s="279">
        <f t="shared" si="10"/>
        <v>0</v>
      </c>
      <c r="AH49" s="418">
        <f t="shared" si="11"/>
        <v>0</v>
      </c>
      <c r="AI49" s="296">
        <f>IF(Simulador!$T$67=1,'Tabla de amortizacion'!AJ49,'Tabla de amortizacion'!AR49)</f>
        <v>0.1</v>
      </c>
      <c r="AJ49" s="297">
        <f>Simulador!$I$41</f>
        <v>0.1</v>
      </c>
      <c r="AK49" s="298">
        <f t="shared" si="12"/>
        <v>0</v>
      </c>
      <c r="AL49" s="297">
        <f t="shared" si="34"/>
        <v>0.0955</v>
      </c>
      <c r="AM49" s="297">
        <f t="shared" si="31"/>
        <v>0.0955</v>
      </c>
      <c r="AN49" s="520">
        <f t="shared" si="32"/>
        <v>0.0955</v>
      </c>
      <c r="AO49" s="520">
        <f t="shared" si="33"/>
        <v>0.0955</v>
      </c>
      <c r="AP49" s="299">
        <v>0</v>
      </c>
      <c r="AQ49" s="414">
        <f t="shared" si="16"/>
        <v>0</v>
      </c>
      <c r="AR49" s="300">
        <f>IF(AND(Simulador!$T$67=2,Simulador!$T$61=1),AL49,IF(AND(Simulador!$T$67=2,Simulador!$T$61=2),AM49,IF(AND(Simulador!$T$67=2,Simulador!$T$61=3),AN49,AO49)))</f>
        <v>0.0955</v>
      </c>
      <c r="AS49" s="281"/>
      <c r="AT49" s="70">
        <f t="shared" si="30"/>
        <v>0</v>
      </c>
      <c r="AU49" s="70">
        <f t="shared" si="18"/>
        <v>0</v>
      </c>
      <c r="AV49" s="71">
        <f t="shared" si="3"/>
        <v>0</v>
      </c>
      <c r="AW49" s="70">
        <f t="shared" si="4"/>
        <v>0</v>
      </c>
      <c r="AX49" s="70">
        <f t="shared" si="19"/>
        <v>0</v>
      </c>
      <c r="AY49" s="72">
        <f t="shared" si="5"/>
      </c>
      <c r="AZ49" s="70">
        <f>_xlfn.IFERROR(IF(Simulador!$U$29=1,0,IF($AT49&lt;=0.01,0,$AT49*Simulador!$AA$42)),0)+_xlfn.IFERROR(IF(Simulador!$U$29=1,0,IF($AT49&lt;=0.01,0,IF(Simulador!$D$22&gt;0,Simulador!$D$22,Simulador!$O$24)*Simulador!$AA$43)),0)</f>
        <v>0</v>
      </c>
      <c r="BA49" s="73"/>
      <c r="BB49" s="70">
        <f t="shared" si="6"/>
        <v>0</v>
      </c>
      <c r="BC49">
        <f t="shared" si="20"/>
        <v>0</v>
      </c>
      <c r="BD49" s="431">
        <f t="shared" si="21"/>
      </c>
      <c r="BE49" s="432">
        <f t="shared" si="25"/>
        <v>0</v>
      </c>
      <c r="BF49" s="69">
        <v>35</v>
      </c>
      <c r="BG49" s="38"/>
      <c r="BJ49" s="69"/>
      <c r="BM49" s="432"/>
    </row>
    <row r="50" spans="1:65" ht="12">
      <c r="A50" s="531">
        <v>36</v>
      </c>
      <c r="B50" s="106">
        <f t="shared" si="22"/>
        <v>0</v>
      </c>
      <c r="C50" s="106"/>
      <c r="D50" s="107">
        <f>IF(B50+F50-D49&lt;=0,B50+F50,IF(AND(OR(Simulador!$U$38=2,Simulador!$U$38=7),J49=0),D49*(1+AA50),IF($AE$3=2,B50*AQ50,D49*(1+AA50))))</f>
        <v>0</v>
      </c>
      <c r="E50" s="107"/>
      <c r="F50" s="107">
        <f t="shared" si="0"/>
        <v>0</v>
      </c>
      <c r="G50" s="107"/>
      <c r="H50" s="107">
        <f t="shared" si="23"/>
        <v>0</v>
      </c>
      <c r="I50" s="108"/>
      <c r="J50" s="109"/>
      <c r="K50" s="108"/>
      <c r="L50" s="107">
        <f>IF(Simulador!$T$40=1,0,J50*Simulador!$W$38*1.16)</f>
        <v>0</v>
      </c>
      <c r="M50" s="107"/>
      <c r="N50" s="110">
        <f>IF(B50-H50=0,0,N48)</f>
        <v>0</v>
      </c>
      <c r="O50" s="13"/>
      <c r="P50" s="664">
        <f t="shared" si="1"/>
      </c>
      <c r="Q50" s="3"/>
      <c r="R50" s="107">
        <f t="shared" si="7"/>
        <v>0</v>
      </c>
      <c r="S50" s="107"/>
      <c r="T50" s="107">
        <f>_xlfn.IFERROR(IF(Simulador!$U$29=1,0,IF($B50&lt;=0,0,$B50*Simulador!$AA$42)),0)</f>
        <v>0</v>
      </c>
      <c r="U50" s="107"/>
      <c r="V50" s="107">
        <f>_xlfn.IFERROR(IF(Simulador!$U$29=1,0,IF($B50&lt;=0,0,IF(Simulador!$D$22&gt;0,Simulador!$D$22,Simulador!$O$24)*Simulador!$AA$43)),0)</f>
        <v>0</v>
      </c>
      <c r="W50" s="107"/>
      <c r="X50" s="107"/>
      <c r="Y50" s="107">
        <f t="shared" si="2"/>
        <v>0</v>
      </c>
      <c r="Z50" s="14"/>
      <c r="AA50" s="19"/>
      <c r="AB50" s="24"/>
      <c r="AC50" s="303">
        <v>3</v>
      </c>
      <c r="AD50" s="295">
        <v>0</v>
      </c>
      <c r="AE50" s="400">
        <f t="shared" si="8"/>
        <v>0</v>
      </c>
      <c r="AF50" s="279">
        <f t="shared" si="9"/>
        <v>0</v>
      </c>
      <c r="AG50" s="279">
        <f t="shared" si="10"/>
        <v>0</v>
      </c>
      <c r="AH50" s="418">
        <f t="shared" si="11"/>
        <v>0</v>
      </c>
      <c r="AI50" s="296">
        <f>IF(Simulador!$T$67=1,'Tabla de amortizacion'!AJ50,'Tabla de amortizacion'!AR50)</f>
        <v>0.1</v>
      </c>
      <c r="AJ50" s="297">
        <f>Simulador!$I$41</f>
        <v>0.1</v>
      </c>
      <c r="AK50" s="298">
        <f t="shared" si="12"/>
        <v>0</v>
      </c>
      <c r="AL50" s="297">
        <f t="shared" si="34"/>
        <v>0.0955</v>
      </c>
      <c r="AM50" s="297">
        <f t="shared" si="31"/>
        <v>0.0955</v>
      </c>
      <c r="AN50" s="520">
        <f t="shared" si="32"/>
        <v>0.0955</v>
      </c>
      <c r="AO50" s="520">
        <f t="shared" si="33"/>
        <v>0.0955</v>
      </c>
      <c r="AP50" s="299">
        <v>0</v>
      </c>
      <c r="AQ50" s="414">
        <f t="shared" si="16"/>
        <v>0</v>
      </c>
      <c r="AR50" s="300">
        <f>IF(AND(Simulador!$T$67=2,Simulador!$T$61=1),AL50,IF(AND(Simulador!$T$67=2,Simulador!$T$61=2),AM50,IF(AND(Simulador!$T$67=2,Simulador!$T$61=3),AN50,AO50)))</f>
        <v>0.0955</v>
      </c>
      <c r="AS50" s="281"/>
      <c r="AT50" s="74">
        <f t="shared" si="30"/>
        <v>0</v>
      </c>
      <c r="AU50" s="70">
        <f t="shared" si="18"/>
        <v>0</v>
      </c>
      <c r="AV50" s="71">
        <f t="shared" si="3"/>
        <v>0</v>
      </c>
      <c r="AW50" s="74">
        <f t="shared" si="4"/>
        <v>0</v>
      </c>
      <c r="AX50" s="70">
        <f t="shared" si="19"/>
        <v>0</v>
      </c>
      <c r="AY50" s="72">
        <f t="shared" si="5"/>
      </c>
      <c r="AZ50" s="70">
        <f>_xlfn.IFERROR(IF(Simulador!$U$29=1,0,IF($AT50&lt;=0.01,0,$AT50*Simulador!$AA$42)),0)+_xlfn.IFERROR(IF(Simulador!$U$29=1,0,IF($AT50&lt;=0.01,0,IF(Simulador!$D$22&gt;0,Simulador!$D$22,Simulador!$O$24)*Simulador!$AA$43)),0)</f>
        <v>0</v>
      </c>
      <c r="BA50" s="73"/>
      <c r="BB50" s="70">
        <f t="shared" si="6"/>
        <v>0</v>
      </c>
      <c r="BC50">
        <f t="shared" si="20"/>
        <v>0</v>
      </c>
      <c r="BD50" s="431">
        <f t="shared" si="21"/>
      </c>
      <c r="BE50" s="432">
        <f t="shared" si="25"/>
        <v>0</v>
      </c>
      <c r="BF50" s="69">
        <v>36</v>
      </c>
      <c r="BG50" s="38"/>
      <c r="BJ50" s="69"/>
      <c r="BM50" s="432"/>
    </row>
    <row r="51" spans="1:65" ht="12">
      <c r="A51" s="531">
        <v>37</v>
      </c>
      <c r="B51" s="106">
        <f t="shared" si="22"/>
        <v>0</v>
      </c>
      <c r="C51" s="106"/>
      <c r="D51" s="107">
        <f>IF(B51+F51-D50&lt;=0,B51+F51,IF(AND(OR(Simulador!$U$38=2,Simulador!$U$38=7),J50=0),D50*(1+AA51),IF($AE$3=2,B51*AQ51,D50*(1+AA51))))</f>
        <v>0</v>
      </c>
      <c r="E51" s="107"/>
      <c r="F51" s="107">
        <f t="shared" si="0"/>
        <v>0</v>
      </c>
      <c r="G51" s="107"/>
      <c r="H51" s="107">
        <f t="shared" si="23"/>
        <v>0</v>
      </c>
      <c r="I51" s="108"/>
      <c r="J51" s="109"/>
      <c r="K51" s="108"/>
      <c r="L51" s="107">
        <f>IF(Simulador!$T$40=1,0,J51*Simulador!$W$38*1.16)</f>
        <v>0</v>
      </c>
      <c r="M51" s="107"/>
      <c r="N51" s="111"/>
      <c r="O51" s="13"/>
      <c r="P51" s="664">
        <f t="shared" si="1"/>
      </c>
      <c r="Q51" s="3"/>
      <c r="R51" s="107">
        <f t="shared" si="7"/>
        <v>0</v>
      </c>
      <c r="S51" s="107"/>
      <c r="T51" s="107">
        <f>_xlfn.IFERROR(IF(Simulador!$U$29=1,0,IF($B51&lt;=0,0,$B51*Simulador!$AA$42)),0)</f>
        <v>0</v>
      </c>
      <c r="U51" s="107"/>
      <c r="V51" s="107">
        <f>_xlfn.IFERROR(IF(Simulador!$U$29=1,0,IF($B51&lt;=0,0,IF(Simulador!$D$22&gt;0,Simulador!$D$22,Simulador!$O$24)*Simulador!$AA$43)),0)</f>
        <v>0</v>
      </c>
      <c r="W51" s="107"/>
      <c r="X51" s="107"/>
      <c r="Y51" s="107">
        <f t="shared" si="2"/>
        <v>0</v>
      </c>
      <c r="Z51" s="14"/>
      <c r="AA51" s="19">
        <f>IF(B51&lt;=0,0,Simulador!$I$42)</f>
        <v>0</v>
      </c>
      <c r="AB51" s="24"/>
      <c r="AC51" s="303">
        <v>3</v>
      </c>
      <c r="AD51" s="295">
        <v>1</v>
      </c>
      <c r="AE51" s="400">
        <f t="shared" si="8"/>
        <v>0</v>
      </c>
      <c r="AF51" s="279">
        <f t="shared" si="9"/>
        <v>0</v>
      </c>
      <c r="AG51" s="279">
        <f t="shared" si="10"/>
        <v>0</v>
      </c>
      <c r="AH51" s="418">
        <f t="shared" si="11"/>
        <v>0</v>
      </c>
      <c r="AI51" s="296">
        <f>IF(Simulador!$T$67=1,'Tabla de amortizacion'!AJ51,'Tabla de amortizacion'!AR51)</f>
        <v>0.0975</v>
      </c>
      <c r="AJ51" s="297">
        <f>IF(AJ50=$AM$4,AJ50,IF(AJ50-0.25%&lt;=$AM$4,$AM$4,AJ50-0.25%))</f>
        <v>0.0975</v>
      </c>
      <c r="AK51" s="298">
        <f t="shared" si="12"/>
        <v>0</v>
      </c>
      <c r="AL51" s="562">
        <f>AL50-0.2%</f>
        <v>0.0935</v>
      </c>
      <c r="AM51" s="562">
        <f>AM50-0.2%</f>
        <v>0.0935</v>
      </c>
      <c r="AN51" s="563">
        <f>AN50-0.2%</f>
        <v>0.0935</v>
      </c>
      <c r="AO51" s="563">
        <f>AO50-0.2%</f>
        <v>0.0935</v>
      </c>
      <c r="AP51" s="299">
        <v>0</v>
      </c>
      <c r="AQ51" s="414">
        <f t="shared" si="16"/>
        <v>0</v>
      </c>
      <c r="AR51" s="300">
        <f>IF(AND(Simulador!$T$67=2,Simulador!$T$61=1),AL51,IF(AND(Simulador!$T$67=2,Simulador!$T$61=2),AM51,IF(AND(Simulador!$T$67=2,Simulador!$T$61=3),AN51,AO51)))</f>
        <v>0.0935</v>
      </c>
      <c r="AS51" s="281"/>
      <c r="AT51" s="74">
        <f t="shared" si="30"/>
        <v>0</v>
      </c>
      <c r="AU51" s="70">
        <f t="shared" si="18"/>
        <v>0</v>
      </c>
      <c r="AV51" s="71">
        <f t="shared" si="3"/>
        <v>0</v>
      </c>
      <c r="AW51" s="74">
        <f t="shared" si="4"/>
        <v>0</v>
      </c>
      <c r="AX51" s="70">
        <f t="shared" si="19"/>
        <v>0</v>
      </c>
      <c r="AY51" s="72">
        <f t="shared" si="5"/>
      </c>
      <c r="AZ51" s="70">
        <f>_xlfn.IFERROR(IF(Simulador!$U$29=1,0,IF($AT51&lt;=0.01,0,$AT51*Simulador!$AA$42)),0)+_xlfn.IFERROR(IF(Simulador!$U$29=1,0,IF($AT51&lt;=0.01,0,IF(Simulador!$D$22&gt;0,Simulador!$D$22,Simulador!$O$24)*Simulador!$AA$43)),0)</f>
        <v>0</v>
      </c>
      <c r="BA51" s="73">
        <f>IF(AT51&lt;=0,0,$BA$27)</f>
        <v>0</v>
      </c>
      <c r="BB51" s="70">
        <f t="shared" si="6"/>
        <v>0</v>
      </c>
      <c r="BC51">
        <f t="shared" si="20"/>
        <v>0</v>
      </c>
      <c r="BD51" s="431">
        <f t="shared" si="21"/>
      </c>
      <c r="BE51" s="432">
        <f t="shared" si="25"/>
        <v>0</v>
      </c>
      <c r="BF51" s="69">
        <v>37</v>
      </c>
      <c r="BG51" s="38"/>
      <c r="BJ51" s="69"/>
      <c r="BM51" s="432"/>
    </row>
    <row r="52" spans="1:65" ht="12">
      <c r="A52" s="531">
        <v>38</v>
      </c>
      <c r="B52" s="106">
        <f t="shared" si="22"/>
        <v>0</v>
      </c>
      <c r="C52" s="106"/>
      <c r="D52" s="107">
        <f>IF(B52+F52-D51&lt;=0,B52+F52,IF(AND(OR(Simulador!$U$38=2,Simulador!$U$38=7),J51=0),D51*(1+AA52),IF($AE$3=2,B52*AQ52,D51*(1+AA52))))</f>
        <v>0</v>
      </c>
      <c r="E52" s="107"/>
      <c r="F52" s="107">
        <f t="shared" si="0"/>
        <v>0</v>
      </c>
      <c r="G52" s="107"/>
      <c r="H52" s="107">
        <f t="shared" si="23"/>
        <v>0</v>
      </c>
      <c r="I52" s="108"/>
      <c r="J52" s="109"/>
      <c r="K52" s="108"/>
      <c r="L52" s="107">
        <f>IF(Simulador!$T$40=1,0,J52*Simulador!$W$38*1.16)</f>
        <v>0</v>
      </c>
      <c r="M52" s="107"/>
      <c r="N52" s="110">
        <f>IF(B52-H52=0,0,N50*(1+(Simulador!$AF$76)))</f>
        <v>0</v>
      </c>
      <c r="O52" s="13"/>
      <c r="P52" s="664">
        <f t="shared" si="1"/>
      </c>
      <c r="Q52" s="3"/>
      <c r="R52" s="107">
        <f t="shared" si="7"/>
        <v>0</v>
      </c>
      <c r="S52" s="107"/>
      <c r="T52" s="107">
        <f>_xlfn.IFERROR(IF(Simulador!$U$29=1,0,IF($B52&lt;=0,0,$B52*Simulador!$AA$42)),0)</f>
        <v>0</v>
      </c>
      <c r="U52" s="107"/>
      <c r="V52" s="107">
        <f>_xlfn.IFERROR(IF(Simulador!$U$29=1,0,IF($B52&lt;=0,0,IF(Simulador!$D$22&gt;0,Simulador!$D$22,Simulador!$O$24)*Simulador!$AA$43)),0)</f>
        <v>0</v>
      </c>
      <c r="W52" s="107"/>
      <c r="X52" s="107"/>
      <c r="Y52" s="107">
        <f t="shared" si="2"/>
        <v>0</v>
      </c>
      <c r="Z52" s="14"/>
      <c r="AA52" s="19"/>
      <c r="AB52" s="24"/>
      <c r="AC52" s="303">
        <v>3</v>
      </c>
      <c r="AD52" s="301">
        <v>2</v>
      </c>
      <c r="AE52" s="400">
        <f t="shared" si="8"/>
        <v>0</v>
      </c>
      <c r="AF52" s="279">
        <f t="shared" si="9"/>
        <v>0</v>
      </c>
      <c r="AG52" s="279">
        <f t="shared" si="10"/>
        <v>0</v>
      </c>
      <c r="AH52" s="418">
        <f t="shared" si="11"/>
        <v>0</v>
      </c>
      <c r="AI52" s="296">
        <f>IF(Simulador!$T$67=1,'Tabla de amortizacion'!AJ52,'Tabla de amortizacion'!AR52)</f>
        <v>0.0975</v>
      </c>
      <c r="AJ52" s="297">
        <f>AJ51</f>
        <v>0.0975</v>
      </c>
      <c r="AK52" s="298">
        <f t="shared" si="12"/>
        <v>0</v>
      </c>
      <c r="AL52" s="297">
        <f>AL51</f>
        <v>0.0935</v>
      </c>
      <c r="AM52" s="297">
        <f aca="true" t="shared" si="35" ref="AM52:AM62">AM51</f>
        <v>0.0935</v>
      </c>
      <c r="AN52" s="520">
        <f aca="true" t="shared" si="36" ref="AN52:AN62">AN51</f>
        <v>0.0935</v>
      </c>
      <c r="AO52" s="520">
        <f aca="true" t="shared" si="37" ref="AO52:AO62">AO51</f>
        <v>0.0935</v>
      </c>
      <c r="AP52" s="299">
        <v>0</v>
      </c>
      <c r="AQ52" s="414">
        <f t="shared" si="16"/>
        <v>0</v>
      </c>
      <c r="AR52" s="300">
        <f>IF(AND(Simulador!$T$67=2,Simulador!$T$61=1),AL52,IF(AND(Simulador!$T$67=2,Simulador!$T$61=2),AM52,IF(AND(Simulador!$T$67=2,Simulador!$T$61=3),AN52,AO52)))</f>
        <v>0.0935</v>
      </c>
      <c r="AS52" s="281"/>
      <c r="AT52" s="70">
        <f t="shared" si="30"/>
        <v>0</v>
      </c>
      <c r="AU52" s="70">
        <f t="shared" si="18"/>
        <v>0</v>
      </c>
      <c r="AV52" s="71">
        <f t="shared" si="3"/>
        <v>0</v>
      </c>
      <c r="AW52" s="70">
        <f t="shared" si="4"/>
        <v>0</v>
      </c>
      <c r="AX52" s="70">
        <f t="shared" si="19"/>
        <v>0</v>
      </c>
      <c r="AY52" s="72">
        <f t="shared" si="5"/>
      </c>
      <c r="AZ52" s="70">
        <f>_xlfn.IFERROR(IF(Simulador!$U$29=1,0,IF($AT52&lt;=0.01,0,$AT52*Simulador!$AA$42)),0)+_xlfn.IFERROR(IF(Simulador!$U$29=1,0,IF($AT52&lt;=0.01,0,IF(Simulador!$D$22&gt;0,Simulador!$D$22,Simulador!$O$24)*Simulador!$AA$43)),0)</f>
        <v>0</v>
      </c>
      <c r="BA52" s="73"/>
      <c r="BB52" s="70">
        <f t="shared" si="6"/>
        <v>0</v>
      </c>
      <c r="BC52">
        <f t="shared" si="20"/>
        <v>0</v>
      </c>
      <c r="BD52" s="431">
        <f t="shared" si="21"/>
      </c>
      <c r="BE52" s="432">
        <f t="shared" si="25"/>
        <v>0</v>
      </c>
      <c r="BF52" s="69">
        <v>38</v>
      </c>
      <c r="BG52" s="38"/>
      <c r="BJ52" s="69"/>
      <c r="BM52" s="432"/>
    </row>
    <row r="53" spans="1:65" ht="12">
      <c r="A53" s="531">
        <v>39</v>
      </c>
      <c r="B53" s="106">
        <f t="shared" si="22"/>
        <v>0</v>
      </c>
      <c r="C53" s="106"/>
      <c r="D53" s="107">
        <f>IF(B53+F53-D52&lt;=0,B53+F53,IF(AND(OR(Simulador!$U$38=2,Simulador!$U$38=7),J52=0),D52*(1+AA53),IF($AE$3=2,B53*AQ53,D52*(1+AA53))))</f>
        <v>0</v>
      </c>
      <c r="E53" s="107"/>
      <c r="F53" s="107">
        <f t="shared" si="0"/>
        <v>0</v>
      </c>
      <c r="G53" s="107"/>
      <c r="H53" s="107">
        <f t="shared" si="23"/>
        <v>0</v>
      </c>
      <c r="I53" s="108"/>
      <c r="J53" s="109"/>
      <c r="K53" s="108"/>
      <c r="L53" s="107">
        <f>IF(Simulador!$T$40=1,0,J53*Simulador!$W$38*1.16)</f>
        <v>0</v>
      </c>
      <c r="M53" s="107"/>
      <c r="N53" s="111"/>
      <c r="O53" s="13"/>
      <c r="P53" s="664">
        <f t="shared" si="1"/>
      </c>
      <c r="Q53" s="3"/>
      <c r="R53" s="107">
        <f t="shared" si="7"/>
        <v>0</v>
      </c>
      <c r="S53" s="107"/>
      <c r="T53" s="107">
        <f>_xlfn.IFERROR(IF(Simulador!$U$29=1,0,IF($B53&lt;=0,0,$B53*Simulador!$AA$42)),0)</f>
        <v>0</v>
      </c>
      <c r="U53" s="107"/>
      <c r="V53" s="107">
        <f>_xlfn.IFERROR(IF(Simulador!$U$29=1,0,IF($B53&lt;=0,0,IF(Simulador!$D$22&gt;0,Simulador!$D$22,Simulador!$O$24)*Simulador!$AA$43)),0)</f>
        <v>0</v>
      </c>
      <c r="W53" s="107"/>
      <c r="X53" s="107"/>
      <c r="Y53" s="107">
        <f t="shared" si="2"/>
        <v>0</v>
      </c>
      <c r="Z53" s="14"/>
      <c r="AA53" s="19"/>
      <c r="AB53" s="24"/>
      <c r="AC53" s="303">
        <v>3</v>
      </c>
      <c r="AD53" s="301">
        <v>3</v>
      </c>
      <c r="AE53" s="400">
        <f t="shared" si="8"/>
        <v>0</v>
      </c>
      <c r="AF53" s="279">
        <f t="shared" si="9"/>
        <v>0</v>
      </c>
      <c r="AG53" s="279">
        <f t="shared" si="10"/>
        <v>0</v>
      </c>
      <c r="AH53" s="418">
        <f t="shared" si="11"/>
        <v>0</v>
      </c>
      <c r="AI53" s="296">
        <f>IF(Simulador!$T$67=1,'Tabla de amortizacion'!AJ53,'Tabla de amortizacion'!AR53)</f>
        <v>0.0975</v>
      </c>
      <c r="AJ53" s="297">
        <f aca="true" t="shared" si="38" ref="AJ53:AJ62">AJ52</f>
        <v>0.0975</v>
      </c>
      <c r="AK53" s="298">
        <f t="shared" si="12"/>
        <v>0</v>
      </c>
      <c r="AL53" s="297">
        <f aca="true" t="shared" si="39" ref="AL53:AL62">AL52</f>
        <v>0.0935</v>
      </c>
      <c r="AM53" s="297">
        <f t="shared" si="35"/>
        <v>0.0935</v>
      </c>
      <c r="AN53" s="520">
        <f t="shared" si="36"/>
        <v>0.0935</v>
      </c>
      <c r="AO53" s="520">
        <f t="shared" si="37"/>
        <v>0.0935</v>
      </c>
      <c r="AP53" s="299">
        <v>0</v>
      </c>
      <c r="AQ53" s="414">
        <f t="shared" si="16"/>
        <v>0</v>
      </c>
      <c r="AR53" s="300">
        <f>IF(AND(Simulador!$T$67=2,Simulador!$T$61=1),AL53,IF(AND(Simulador!$T$67=2,Simulador!$T$61=2),AM53,IF(AND(Simulador!$T$67=2,Simulador!$T$61=3),AN53,AO53)))</f>
        <v>0.0935</v>
      </c>
      <c r="AS53" s="281"/>
      <c r="AT53" s="70">
        <f t="shared" si="30"/>
        <v>0</v>
      </c>
      <c r="AU53" s="70">
        <f t="shared" si="18"/>
        <v>0</v>
      </c>
      <c r="AV53" s="71">
        <f t="shared" si="3"/>
        <v>0</v>
      </c>
      <c r="AW53" s="70">
        <f t="shared" si="4"/>
        <v>0</v>
      </c>
      <c r="AX53" s="70">
        <f t="shared" si="19"/>
        <v>0</v>
      </c>
      <c r="AY53" s="72">
        <f t="shared" si="5"/>
      </c>
      <c r="AZ53" s="70">
        <f>_xlfn.IFERROR(IF(Simulador!$U$29=1,0,IF($AT53&lt;=0.01,0,$AT53*Simulador!$AA$42)),0)+_xlfn.IFERROR(IF(Simulador!$U$29=1,0,IF($AT53&lt;=0.01,0,IF(Simulador!$D$22&gt;0,Simulador!$D$22,Simulador!$O$24)*Simulador!$AA$43)),0)</f>
        <v>0</v>
      </c>
      <c r="BA53" s="73"/>
      <c r="BB53" s="70">
        <f t="shared" si="6"/>
        <v>0</v>
      </c>
      <c r="BC53">
        <f t="shared" si="20"/>
        <v>0</v>
      </c>
      <c r="BD53" s="431">
        <f t="shared" si="21"/>
      </c>
      <c r="BE53" s="432">
        <f t="shared" si="25"/>
        <v>0</v>
      </c>
      <c r="BF53" s="69">
        <v>39</v>
      </c>
      <c r="BG53" s="38"/>
      <c r="BJ53" s="69"/>
      <c r="BM53" s="432"/>
    </row>
    <row r="54" spans="1:65" ht="12">
      <c r="A54" s="531">
        <v>40</v>
      </c>
      <c r="B54" s="106">
        <f t="shared" si="22"/>
        <v>0</v>
      </c>
      <c r="C54" s="106"/>
      <c r="D54" s="107">
        <f>IF(B54+F54-D53&lt;=0,B54+F54,IF(AND(OR(Simulador!$U$38=2,Simulador!$U$38=7),J53=0),D53*(1+AA54),IF($AE$3=2,B54*AQ54,D53*(1+AA54))))</f>
        <v>0</v>
      </c>
      <c r="E54" s="107"/>
      <c r="F54" s="107">
        <f t="shared" si="0"/>
        <v>0</v>
      </c>
      <c r="G54" s="107"/>
      <c r="H54" s="107">
        <f t="shared" si="23"/>
        <v>0</v>
      </c>
      <c r="I54" s="108"/>
      <c r="J54" s="109"/>
      <c r="K54" s="108"/>
      <c r="L54" s="107">
        <f>IF(Simulador!$T$40=1,0,J54*Simulador!$W$38*1.16)</f>
        <v>0</v>
      </c>
      <c r="M54" s="107"/>
      <c r="N54" s="110">
        <f>IF(B54-H54=0,0,N52)</f>
        <v>0</v>
      </c>
      <c r="O54" s="13"/>
      <c r="P54" s="664">
        <f t="shared" si="1"/>
      </c>
      <c r="Q54" s="3"/>
      <c r="R54" s="107">
        <f t="shared" si="7"/>
        <v>0</v>
      </c>
      <c r="S54" s="107"/>
      <c r="T54" s="107">
        <f>_xlfn.IFERROR(IF(Simulador!$U$29=1,0,IF($B54&lt;=0,0,$B54*Simulador!$AA$42)),0)</f>
        <v>0</v>
      </c>
      <c r="U54" s="107"/>
      <c r="V54" s="107">
        <f>_xlfn.IFERROR(IF(Simulador!$U$29=1,0,IF($B54&lt;=0,0,IF(Simulador!$D$22&gt;0,Simulador!$D$22,Simulador!$O$24)*Simulador!$AA$43)),0)</f>
        <v>0</v>
      </c>
      <c r="W54" s="107"/>
      <c r="X54" s="107"/>
      <c r="Y54" s="107">
        <f t="shared" si="2"/>
        <v>0</v>
      </c>
      <c r="Z54" s="14"/>
      <c r="AA54" s="19"/>
      <c r="AB54" s="24"/>
      <c r="AC54" s="303">
        <v>3</v>
      </c>
      <c r="AD54" s="295">
        <v>4</v>
      </c>
      <c r="AE54" s="400">
        <f t="shared" si="8"/>
        <v>0</v>
      </c>
      <c r="AF54" s="279">
        <f t="shared" si="9"/>
        <v>0</v>
      </c>
      <c r="AG54" s="279">
        <f t="shared" si="10"/>
        <v>0</v>
      </c>
      <c r="AH54" s="418">
        <f t="shared" si="11"/>
        <v>0</v>
      </c>
      <c r="AI54" s="296">
        <f>IF(Simulador!$T$67=1,'Tabla de amortizacion'!AJ54,'Tabla de amortizacion'!AR54)</f>
        <v>0.0975</v>
      </c>
      <c r="AJ54" s="297">
        <f t="shared" si="38"/>
        <v>0.0975</v>
      </c>
      <c r="AK54" s="298">
        <f t="shared" si="12"/>
        <v>0</v>
      </c>
      <c r="AL54" s="297">
        <f t="shared" si="39"/>
        <v>0.0935</v>
      </c>
      <c r="AM54" s="297">
        <f t="shared" si="35"/>
        <v>0.0935</v>
      </c>
      <c r="AN54" s="520">
        <f t="shared" si="36"/>
        <v>0.0935</v>
      </c>
      <c r="AO54" s="520">
        <f t="shared" si="37"/>
        <v>0.0935</v>
      </c>
      <c r="AP54" s="299">
        <v>0</v>
      </c>
      <c r="AQ54" s="414">
        <f t="shared" si="16"/>
        <v>0</v>
      </c>
      <c r="AR54" s="300">
        <f>IF(AND(Simulador!$T$67=2,Simulador!$T$61=1),AL54,IF(AND(Simulador!$T$67=2,Simulador!$T$61=2),AM54,IF(AND(Simulador!$T$67=2,Simulador!$T$61=3),AN54,AO54)))</f>
        <v>0.0935</v>
      </c>
      <c r="AS54" s="281"/>
      <c r="AT54" s="70">
        <f t="shared" si="30"/>
        <v>0</v>
      </c>
      <c r="AU54" s="70">
        <f t="shared" si="18"/>
        <v>0</v>
      </c>
      <c r="AV54" s="71">
        <f t="shared" si="3"/>
        <v>0</v>
      </c>
      <c r="AW54" s="70">
        <f t="shared" si="4"/>
        <v>0</v>
      </c>
      <c r="AX54" s="70">
        <f t="shared" si="19"/>
        <v>0</v>
      </c>
      <c r="AY54" s="72">
        <f t="shared" si="5"/>
      </c>
      <c r="AZ54" s="70">
        <f>_xlfn.IFERROR(IF(Simulador!$U$29=1,0,IF($AT54&lt;=0.01,0,$AT54*Simulador!$AA$42)),0)+_xlfn.IFERROR(IF(Simulador!$U$29=1,0,IF($AT54&lt;=0.01,0,IF(Simulador!$D$22&gt;0,Simulador!$D$22,Simulador!$O$24)*Simulador!$AA$43)),0)</f>
        <v>0</v>
      </c>
      <c r="BA54" s="73"/>
      <c r="BB54" s="70">
        <f t="shared" si="6"/>
        <v>0</v>
      </c>
      <c r="BC54">
        <f t="shared" si="20"/>
        <v>0</v>
      </c>
      <c r="BD54" s="431">
        <f t="shared" si="21"/>
      </c>
      <c r="BE54" s="432">
        <f t="shared" si="25"/>
        <v>0</v>
      </c>
      <c r="BF54" s="69">
        <v>40</v>
      </c>
      <c r="BG54" s="38"/>
      <c r="BJ54" s="69"/>
      <c r="BM54" s="432"/>
    </row>
    <row r="55" spans="1:65" ht="12">
      <c r="A55" s="531">
        <v>41</v>
      </c>
      <c r="B55" s="106">
        <f t="shared" si="22"/>
        <v>0</v>
      </c>
      <c r="C55" s="106"/>
      <c r="D55" s="107">
        <f>IF(B55+F55-D54&lt;=0,B55+F55,IF(AND(OR(Simulador!$U$38=2,Simulador!$U$38=7),J54=0),D54*(1+AA55),IF($AE$3=2,B55*AQ55,D54*(1+AA55))))</f>
        <v>0</v>
      </c>
      <c r="E55" s="107"/>
      <c r="F55" s="107">
        <f t="shared" si="0"/>
        <v>0</v>
      </c>
      <c r="G55" s="107"/>
      <c r="H55" s="107">
        <f t="shared" si="23"/>
        <v>0</v>
      </c>
      <c r="I55" s="108"/>
      <c r="J55" s="109"/>
      <c r="K55" s="108"/>
      <c r="L55" s="107">
        <f>IF(Simulador!$T$40=1,0,J55*Simulador!$W$38*1.16)</f>
        <v>0</v>
      </c>
      <c r="M55" s="107"/>
      <c r="N55" s="111"/>
      <c r="O55" s="13"/>
      <c r="P55" s="664">
        <f t="shared" si="1"/>
      </c>
      <c r="Q55" s="3"/>
      <c r="R55" s="107">
        <f t="shared" si="7"/>
        <v>0</v>
      </c>
      <c r="S55" s="107"/>
      <c r="T55" s="107">
        <f>_xlfn.IFERROR(IF(Simulador!$U$29=1,0,IF($B55&lt;=0,0,$B55*Simulador!$AA$42)),0)</f>
        <v>0</v>
      </c>
      <c r="U55" s="107"/>
      <c r="V55" s="107">
        <f>_xlfn.IFERROR(IF(Simulador!$U$29=1,0,IF($B55&lt;=0,0,IF(Simulador!$D$22&gt;0,Simulador!$D$22,Simulador!$O$24)*Simulador!$AA$43)),0)</f>
        <v>0</v>
      </c>
      <c r="W55" s="107"/>
      <c r="X55" s="107"/>
      <c r="Y55" s="107">
        <f t="shared" si="2"/>
        <v>0</v>
      </c>
      <c r="Z55" s="14"/>
      <c r="AA55" s="19"/>
      <c r="AB55" s="24"/>
      <c r="AC55" s="303">
        <v>3</v>
      </c>
      <c r="AD55" s="295">
        <v>5</v>
      </c>
      <c r="AE55" s="400">
        <f t="shared" si="8"/>
        <v>0</v>
      </c>
      <c r="AF55" s="279">
        <f t="shared" si="9"/>
        <v>0</v>
      </c>
      <c r="AG55" s="279">
        <f t="shared" si="10"/>
        <v>0</v>
      </c>
      <c r="AH55" s="418">
        <f t="shared" si="11"/>
        <v>0</v>
      </c>
      <c r="AI55" s="296">
        <f>IF(Simulador!$T$67=1,'Tabla de amortizacion'!AJ55,'Tabla de amortizacion'!AR55)</f>
        <v>0.0975</v>
      </c>
      <c r="AJ55" s="297">
        <f t="shared" si="38"/>
        <v>0.0975</v>
      </c>
      <c r="AK55" s="298">
        <f t="shared" si="12"/>
        <v>0</v>
      </c>
      <c r="AL55" s="297">
        <f t="shared" si="39"/>
        <v>0.0935</v>
      </c>
      <c r="AM55" s="297">
        <f t="shared" si="35"/>
        <v>0.0935</v>
      </c>
      <c r="AN55" s="520">
        <f t="shared" si="36"/>
        <v>0.0935</v>
      </c>
      <c r="AO55" s="520">
        <f t="shared" si="37"/>
        <v>0.0935</v>
      </c>
      <c r="AP55" s="299">
        <v>0</v>
      </c>
      <c r="AQ55" s="414">
        <f t="shared" si="16"/>
        <v>0</v>
      </c>
      <c r="AR55" s="300">
        <f>IF(AND(Simulador!$T$67=2,Simulador!$T$61=1),AL55,IF(AND(Simulador!$T$67=2,Simulador!$T$61=2),AM55,IF(AND(Simulador!$T$67=2,Simulador!$T$61=3),AN55,AO55)))</f>
        <v>0.0935</v>
      </c>
      <c r="AS55" s="281"/>
      <c r="AT55" s="70">
        <f t="shared" si="30"/>
        <v>0</v>
      </c>
      <c r="AU55" s="70">
        <f t="shared" si="18"/>
        <v>0</v>
      </c>
      <c r="AV55" s="71">
        <f t="shared" si="3"/>
        <v>0</v>
      </c>
      <c r="AW55" s="70">
        <f t="shared" si="4"/>
        <v>0</v>
      </c>
      <c r="AX55" s="70">
        <f t="shared" si="19"/>
        <v>0</v>
      </c>
      <c r="AY55" s="72">
        <f t="shared" si="5"/>
      </c>
      <c r="AZ55" s="70">
        <f>_xlfn.IFERROR(IF(Simulador!$U$29=1,0,IF($AT55&lt;=0.01,0,$AT55*Simulador!$AA$42)),0)+_xlfn.IFERROR(IF(Simulador!$U$29=1,0,IF($AT55&lt;=0.01,0,IF(Simulador!$D$22&gt;0,Simulador!$D$22,Simulador!$O$24)*Simulador!$AA$43)),0)</f>
        <v>0</v>
      </c>
      <c r="BA55" s="73"/>
      <c r="BB55" s="70">
        <f t="shared" si="6"/>
        <v>0</v>
      </c>
      <c r="BC55">
        <f t="shared" si="20"/>
        <v>0</v>
      </c>
      <c r="BD55" s="431">
        <f t="shared" si="21"/>
      </c>
      <c r="BE55" s="432">
        <f t="shared" si="25"/>
        <v>0</v>
      </c>
      <c r="BF55" s="69">
        <v>41</v>
      </c>
      <c r="BG55" s="38"/>
      <c r="BJ55" s="69"/>
      <c r="BM55" s="432"/>
    </row>
    <row r="56" spans="1:65" ht="12">
      <c r="A56" s="531">
        <v>42</v>
      </c>
      <c r="B56" s="106">
        <f t="shared" si="22"/>
        <v>0</v>
      </c>
      <c r="C56" s="106"/>
      <c r="D56" s="107">
        <f>IF(B56+F56-D55&lt;=0,B56+F56,IF(AND(OR(Simulador!$U$38=2,Simulador!$U$38=7),J55=0),D55*(1+AA56),IF($AE$3=2,B56*AQ56,D55*(1+AA56))))</f>
        <v>0</v>
      </c>
      <c r="E56" s="107"/>
      <c r="F56" s="107">
        <f t="shared" si="0"/>
        <v>0</v>
      </c>
      <c r="G56" s="107"/>
      <c r="H56" s="107">
        <f t="shared" si="23"/>
        <v>0</v>
      </c>
      <c r="I56" s="108"/>
      <c r="J56" s="109"/>
      <c r="K56" s="108"/>
      <c r="L56" s="107">
        <f>IF(Simulador!$T$40=1,0,J56*Simulador!$W$38*1.16)</f>
        <v>0</v>
      </c>
      <c r="M56" s="107"/>
      <c r="N56" s="110">
        <f>IF(B56-H56=0,0,N54)</f>
        <v>0</v>
      </c>
      <c r="O56" s="13"/>
      <c r="P56" s="664">
        <f t="shared" si="1"/>
      </c>
      <c r="Q56" s="3"/>
      <c r="R56" s="107">
        <f t="shared" si="7"/>
        <v>0</v>
      </c>
      <c r="S56" s="107"/>
      <c r="T56" s="107">
        <f>_xlfn.IFERROR(IF(Simulador!$U$29=1,0,IF($B56&lt;=0,0,$B56*Simulador!$AA$42)),0)</f>
        <v>0</v>
      </c>
      <c r="U56" s="107"/>
      <c r="V56" s="107">
        <f>_xlfn.IFERROR(IF(Simulador!$U$29=1,0,IF($B56&lt;=0,0,IF(Simulador!$D$22&gt;0,Simulador!$D$22,Simulador!$O$24)*Simulador!$AA$43)),0)</f>
        <v>0</v>
      </c>
      <c r="W56" s="107"/>
      <c r="X56" s="107"/>
      <c r="Y56" s="107">
        <f t="shared" si="2"/>
        <v>0</v>
      </c>
      <c r="Z56" s="14"/>
      <c r="AA56" s="19"/>
      <c r="AB56" s="24"/>
      <c r="AC56" s="303">
        <v>3</v>
      </c>
      <c r="AD56" s="295">
        <v>6</v>
      </c>
      <c r="AE56" s="400">
        <f t="shared" si="8"/>
        <v>0</v>
      </c>
      <c r="AF56" s="279">
        <f t="shared" si="9"/>
        <v>0</v>
      </c>
      <c r="AG56" s="279">
        <f t="shared" si="10"/>
        <v>0</v>
      </c>
      <c r="AH56" s="418">
        <f t="shared" si="11"/>
        <v>0</v>
      </c>
      <c r="AI56" s="296">
        <f>IF(Simulador!$T$67=1,'Tabla de amortizacion'!AJ56,'Tabla de amortizacion'!AR56)</f>
        <v>0.0975</v>
      </c>
      <c r="AJ56" s="297">
        <f t="shared" si="38"/>
        <v>0.0975</v>
      </c>
      <c r="AK56" s="298">
        <f t="shared" si="12"/>
        <v>0</v>
      </c>
      <c r="AL56" s="297">
        <f t="shared" si="39"/>
        <v>0.0935</v>
      </c>
      <c r="AM56" s="297">
        <f t="shared" si="35"/>
        <v>0.0935</v>
      </c>
      <c r="AN56" s="520">
        <f t="shared" si="36"/>
        <v>0.0935</v>
      </c>
      <c r="AO56" s="520">
        <f t="shared" si="37"/>
        <v>0.0935</v>
      </c>
      <c r="AP56" s="299">
        <v>0</v>
      </c>
      <c r="AQ56" s="414">
        <f t="shared" si="16"/>
        <v>0</v>
      </c>
      <c r="AR56" s="300">
        <f>IF(AND(Simulador!$T$67=2,Simulador!$T$61=1),AL56,IF(AND(Simulador!$T$67=2,Simulador!$T$61=2),AM56,IF(AND(Simulador!$T$67=2,Simulador!$T$61=3),AN56,AO56)))</f>
        <v>0.0935</v>
      </c>
      <c r="AS56" s="281"/>
      <c r="AT56" s="70">
        <f t="shared" si="30"/>
        <v>0</v>
      </c>
      <c r="AU56" s="70">
        <f t="shared" si="18"/>
        <v>0</v>
      </c>
      <c r="AV56" s="71">
        <f t="shared" si="3"/>
        <v>0</v>
      </c>
      <c r="AW56" s="70">
        <f t="shared" si="4"/>
        <v>0</v>
      </c>
      <c r="AX56" s="70">
        <f t="shared" si="19"/>
        <v>0</v>
      </c>
      <c r="AY56" s="72">
        <f t="shared" si="5"/>
      </c>
      <c r="AZ56" s="70">
        <f>_xlfn.IFERROR(IF(Simulador!$U$29=1,0,IF($AT56&lt;=0.01,0,$AT56*Simulador!$AA$42)),0)+_xlfn.IFERROR(IF(Simulador!$U$29=1,0,IF($AT56&lt;=0.01,0,IF(Simulador!$D$22&gt;0,Simulador!$D$22,Simulador!$O$24)*Simulador!$AA$43)),0)</f>
        <v>0</v>
      </c>
      <c r="BA56" s="73"/>
      <c r="BB56" s="70">
        <f t="shared" si="6"/>
        <v>0</v>
      </c>
      <c r="BC56">
        <f t="shared" si="20"/>
        <v>0</v>
      </c>
      <c r="BD56" s="431">
        <f t="shared" si="21"/>
      </c>
      <c r="BE56" s="432">
        <f t="shared" si="25"/>
        <v>0</v>
      </c>
      <c r="BF56" s="69">
        <v>42</v>
      </c>
      <c r="BG56" s="38"/>
      <c r="BJ56" s="69"/>
      <c r="BM56" s="432"/>
    </row>
    <row r="57" spans="1:65" ht="12">
      <c r="A57" s="531">
        <v>43</v>
      </c>
      <c r="B57" s="106">
        <f t="shared" si="22"/>
        <v>0</v>
      </c>
      <c r="C57" s="106"/>
      <c r="D57" s="107">
        <f>IF(B57+F57-D56&lt;=0,B57+F57,IF(AND(OR(Simulador!$U$38=2,Simulador!$U$38=7),J56=0),D56*(1+AA57),IF($AE$3=2,B57*AQ57,D56*(1+AA57))))</f>
        <v>0</v>
      </c>
      <c r="E57" s="107"/>
      <c r="F57" s="107">
        <f t="shared" si="0"/>
        <v>0</v>
      </c>
      <c r="G57" s="107"/>
      <c r="H57" s="107">
        <f t="shared" si="23"/>
        <v>0</v>
      </c>
      <c r="I57" s="108"/>
      <c r="J57" s="109"/>
      <c r="K57" s="108"/>
      <c r="L57" s="107">
        <f>IF(Simulador!$T$40=1,0,J57*Simulador!$W$38*1.16)</f>
        <v>0</v>
      </c>
      <c r="M57" s="107"/>
      <c r="N57" s="111"/>
      <c r="O57" s="13"/>
      <c r="P57" s="664">
        <f t="shared" si="1"/>
      </c>
      <c r="Q57" s="3"/>
      <c r="R57" s="107">
        <f t="shared" si="7"/>
        <v>0</v>
      </c>
      <c r="S57" s="107"/>
      <c r="T57" s="107">
        <f>_xlfn.IFERROR(IF(Simulador!$U$29=1,0,IF($B57&lt;=0,0,$B57*Simulador!$AA$42)),0)</f>
        <v>0</v>
      </c>
      <c r="U57" s="107"/>
      <c r="V57" s="107">
        <f>_xlfn.IFERROR(IF(Simulador!$U$29=1,0,IF($B57&lt;=0,0,IF(Simulador!$D$22&gt;0,Simulador!$D$22,Simulador!$O$24)*Simulador!$AA$43)),0)</f>
        <v>0</v>
      </c>
      <c r="W57" s="107"/>
      <c r="X57" s="107"/>
      <c r="Y57" s="107">
        <f t="shared" si="2"/>
        <v>0</v>
      </c>
      <c r="Z57" s="14"/>
      <c r="AA57" s="19"/>
      <c r="AB57" s="24"/>
      <c r="AC57" s="303">
        <v>3</v>
      </c>
      <c r="AD57" s="295">
        <v>7</v>
      </c>
      <c r="AE57" s="400">
        <f t="shared" si="8"/>
        <v>0</v>
      </c>
      <c r="AF57" s="279">
        <f t="shared" si="9"/>
        <v>0</v>
      </c>
      <c r="AG57" s="279">
        <f t="shared" si="10"/>
        <v>0</v>
      </c>
      <c r="AH57" s="418">
        <f t="shared" si="11"/>
        <v>0</v>
      </c>
      <c r="AI57" s="296">
        <f>IF(Simulador!$T$67=1,'Tabla de amortizacion'!AJ57,'Tabla de amortizacion'!AR57)</f>
        <v>0.0975</v>
      </c>
      <c r="AJ57" s="297">
        <f t="shared" si="38"/>
        <v>0.0975</v>
      </c>
      <c r="AK57" s="298">
        <f t="shared" si="12"/>
        <v>0</v>
      </c>
      <c r="AL57" s="297">
        <f t="shared" si="39"/>
        <v>0.0935</v>
      </c>
      <c r="AM57" s="297">
        <f t="shared" si="35"/>
        <v>0.0935</v>
      </c>
      <c r="AN57" s="520">
        <f t="shared" si="36"/>
        <v>0.0935</v>
      </c>
      <c r="AO57" s="520">
        <f t="shared" si="37"/>
        <v>0.0935</v>
      </c>
      <c r="AP57" s="299">
        <v>0</v>
      </c>
      <c r="AQ57" s="414">
        <f t="shared" si="16"/>
        <v>0</v>
      </c>
      <c r="AR57" s="300">
        <f>IF(AND(Simulador!$T$67=2,Simulador!$T$61=1),AL57,IF(AND(Simulador!$T$67=2,Simulador!$T$61=2),AM57,IF(AND(Simulador!$T$67=2,Simulador!$T$61=3),AN57,AO57)))</f>
        <v>0.0935</v>
      </c>
      <c r="AS57" s="281"/>
      <c r="AT57" s="70">
        <f t="shared" si="30"/>
        <v>0</v>
      </c>
      <c r="AU57" s="70">
        <f t="shared" si="18"/>
        <v>0</v>
      </c>
      <c r="AV57" s="71">
        <f t="shared" si="3"/>
        <v>0</v>
      </c>
      <c r="AW57" s="70">
        <f t="shared" si="4"/>
        <v>0</v>
      </c>
      <c r="AX57" s="70">
        <f t="shared" si="19"/>
        <v>0</v>
      </c>
      <c r="AY57" s="72">
        <f t="shared" si="5"/>
      </c>
      <c r="AZ57" s="70">
        <f>_xlfn.IFERROR(IF(Simulador!$U$29=1,0,IF($AT57&lt;=0.01,0,$AT57*Simulador!$AA$42)),0)+_xlfn.IFERROR(IF(Simulador!$U$29=1,0,IF($AT57&lt;=0.01,0,IF(Simulador!$D$22&gt;0,Simulador!$D$22,Simulador!$O$24)*Simulador!$AA$43)),0)</f>
        <v>0</v>
      </c>
      <c r="BA57" s="73"/>
      <c r="BB57" s="70">
        <f t="shared" si="6"/>
        <v>0</v>
      </c>
      <c r="BC57">
        <f t="shared" si="20"/>
        <v>0</v>
      </c>
      <c r="BD57" s="431">
        <f t="shared" si="21"/>
      </c>
      <c r="BE57" s="432">
        <f t="shared" si="25"/>
        <v>0</v>
      </c>
      <c r="BF57" s="69">
        <v>43</v>
      </c>
      <c r="BG57" s="38"/>
      <c r="BJ57" s="69"/>
      <c r="BM57" s="432"/>
    </row>
    <row r="58" spans="1:65" ht="12">
      <c r="A58" s="531">
        <v>44</v>
      </c>
      <c r="B58" s="106">
        <f t="shared" si="22"/>
        <v>0</v>
      </c>
      <c r="C58" s="106"/>
      <c r="D58" s="107">
        <f>IF(B58+F58-D57&lt;=0,B58+F58,IF(AND(OR(Simulador!$U$38=2,Simulador!$U$38=7),J57=0),D57*(1+AA58),IF($AE$3=2,B58*AQ58,D57*(1+AA58))))</f>
        <v>0</v>
      </c>
      <c r="E58" s="107"/>
      <c r="F58" s="107">
        <f t="shared" si="0"/>
        <v>0</v>
      </c>
      <c r="G58" s="107"/>
      <c r="H58" s="107">
        <f t="shared" si="23"/>
        <v>0</v>
      </c>
      <c r="I58" s="108"/>
      <c r="J58" s="109"/>
      <c r="K58" s="108"/>
      <c r="L58" s="107">
        <f>IF(Simulador!$T$40=1,0,J58*Simulador!$W$38*1.16)</f>
        <v>0</v>
      </c>
      <c r="M58" s="107"/>
      <c r="N58" s="110">
        <f>IF(B58-H58=0,0,N56)</f>
        <v>0</v>
      </c>
      <c r="O58" s="13"/>
      <c r="P58" s="664">
        <f t="shared" si="1"/>
      </c>
      <c r="Q58" s="3"/>
      <c r="R58" s="107">
        <f t="shared" si="7"/>
        <v>0</v>
      </c>
      <c r="S58" s="107"/>
      <c r="T58" s="107">
        <f>_xlfn.IFERROR(IF(Simulador!$U$29=1,0,IF($B58&lt;=0,0,$B58*Simulador!$AA$42)),0)</f>
        <v>0</v>
      </c>
      <c r="U58" s="107"/>
      <c r="V58" s="107">
        <f>_xlfn.IFERROR(IF(Simulador!$U$29=1,0,IF($B58&lt;=0,0,IF(Simulador!$D$22&gt;0,Simulador!$D$22,Simulador!$O$24)*Simulador!$AA$43)),0)</f>
        <v>0</v>
      </c>
      <c r="W58" s="107"/>
      <c r="X58" s="107"/>
      <c r="Y58" s="107">
        <f t="shared" si="2"/>
        <v>0</v>
      </c>
      <c r="Z58" s="14"/>
      <c r="AA58" s="19"/>
      <c r="AB58" s="24"/>
      <c r="AC58" s="303">
        <v>3</v>
      </c>
      <c r="AD58" s="295">
        <v>8</v>
      </c>
      <c r="AE58" s="400">
        <f t="shared" si="8"/>
        <v>0</v>
      </c>
      <c r="AF58" s="279">
        <f t="shared" si="9"/>
        <v>0</v>
      </c>
      <c r="AG58" s="279">
        <f t="shared" si="10"/>
        <v>0</v>
      </c>
      <c r="AH58" s="418">
        <f t="shared" si="11"/>
        <v>0</v>
      </c>
      <c r="AI58" s="296">
        <f>IF(Simulador!$T$67=1,'Tabla de amortizacion'!AJ58,'Tabla de amortizacion'!AR58)</f>
        <v>0.0975</v>
      </c>
      <c r="AJ58" s="297">
        <f t="shared" si="38"/>
        <v>0.0975</v>
      </c>
      <c r="AK58" s="298">
        <f t="shared" si="12"/>
        <v>0</v>
      </c>
      <c r="AL58" s="297">
        <f t="shared" si="39"/>
        <v>0.0935</v>
      </c>
      <c r="AM58" s="297">
        <f t="shared" si="35"/>
        <v>0.0935</v>
      </c>
      <c r="AN58" s="520">
        <f t="shared" si="36"/>
        <v>0.0935</v>
      </c>
      <c r="AO58" s="520">
        <f t="shared" si="37"/>
        <v>0.0935</v>
      </c>
      <c r="AP58" s="299">
        <v>0</v>
      </c>
      <c r="AQ58" s="414">
        <f t="shared" si="16"/>
        <v>0</v>
      </c>
      <c r="AR58" s="300">
        <f>IF(AND(Simulador!$T$67=2,Simulador!$T$61=1),AL58,IF(AND(Simulador!$T$67=2,Simulador!$T$61=2),AM58,IF(AND(Simulador!$T$67=2,Simulador!$T$61=3),AN58,AO58)))</f>
        <v>0.0935</v>
      </c>
      <c r="AS58" s="281"/>
      <c r="AT58" s="70">
        <f t="shared" si="30"/>
        <v>0</v>
      </c>
      <c r="AU58" s="70">
        <f t="shared" si="18"/>
        <v>0</v>
      </c>
      <c r="AV58" s="71">
        <f t="shared" si="3"/>
        <v>0</v>
      </c>
      <c r="AW58" s="70">
        <f t="shared" si="4"/>
        <v>0</v>
      </c>
      <c r="AX58" s="70">
        <f t="shared" si="19"/>
        <v>0</v>
      </c>
      <c r="AY58" s="72">
        <f t="shared" si="5"/>
      </c>
      <c r="AZ58" s="70">
        <f>_xlfn.IFERROR(IF(Simulador!$U$29=1,0,IF($AT58&lt;=0.01,0,$AT58*Simulador!$AA$42)),0)+_xlfn.IFERROR(IF(Simulador!$U$29=1,0,IF($AT58&lt;=0.01,0,IF(Simulador!$D$22&gt;0,Simulador!$D$22,Simulador!$O$24)*Simulador!$AA$43)),0)</f>
        <v>0</v>
      </c>
      <c r="BA58" s="73"/>
      <c r="BB58" s="70">
        <f t="shared" si="6"/>
        <v>0</v>
      </c>
      <c r="BC58">
        <f t="shared" si="20"/>
        <v>0</v>
      </c>
      <c r="BD58" s="431">
        <f t="shared" si="21"/>
      </c>
      <c r="BE58" s="432">
        <f t="shared" si="25"/>
        <v>0</v>
      </c>
      <c r="BF58" s="69">
        <v>44</v>
      </c>
      <c r="BG58" s="38"/>
      <c r="BJ58" s="69"/>
      <c r="BM58" s="432"/>
    </row>
    <row r="59" spans="1:65" ht="12">
      <c r="A59" s="531">
        <v>45</v>
      </c>
      <c r="B59" s="106">
        <f t="shared" si="22"/>
        <v>0</v>
      </c>
      <c r="C59" s="106"/>
      <c r="D59" s="107">
        <f>IF(B59+F59-D58&lt;=0,B59+F59,IF(AND(OR(Simulador!$U$38=2,Simulador!$U$38=7),J58=0),D58*(1+AA59),IF($AE$3=2,B59*AQ59,D58*(1+AA59))))</f>
        <v>0</v>
      </c>
      <c r="E59" s="107"/>
      <c r="F59" s="107">
        <f t="shared" si="0"/>
        <v>0</v>
      </c>
      <c r="G59" s="107"/>
      <c r="H59" s="107">
        <f t="shared" si="23"/>
        <v>0</v>
      </c>
      <c r="I59" s="108"/>
      <c r="J59" s="109"/>
      <c r="K59" s="108"/>
      <c r="L59" s="107">
        <f>IF(Simulador!$T$40=1,0,J59*Simulador!$W$38*1.16)</f>
        <v>0</v>
      </c>
      <c r="M59" s="107"/>
      <c r="N59" s="111"/>
      <c r="O59" s="13"/>
      <c r="P59" s="664">
        <f t="shared" si="1"/>
      </c>
      <c r="Q59" s="3"/>
      <c r="R59" s="107">
        <f t="shared" si="7"/>
        <v>0</v>
      </c>
      <c r="S59" s="107"/>
      <c r="T59" s="107">
        <f>_xlfn.IFERROR(IF(Simulador!$U$29=1,0,IF($B59&lt;=0,0,$B59*Simulador!$AA$42)),0)</f>
        <v>0</v>
      </c>
      <c r="U59" s="107"/>
      <c r="V59" s="107">
        <f>_xlfn.IFERROR(IF(Simulador!$U$29=1,0,IF($B59&lt;=0,0,IF(Simulador!$D$22&gt;0,Simulador!$D$22,Simulador!$O$24)*Simulador!$AA$43)),0)</f>
        <v>0</v>
      </c>
      <c r="W59" s="107"/>
      <c r="X59" s="107"/>
      <c r="Y59" s="107">
        <f t="shared" si="2"/>
        <v>0</v>
      </c>
      <c r="Z59" s="14"/>
      <c r="AA59" s="19"/>
      <c r="AB59" s="24"/>
      <c r="AC59" s="303">
        <v>3</v>
      </c>
      <c r="AD59" s="302">
        <v>9</v>
      </c>
      <c r="AE59" s="400">
        <f t="shared" si="8"/>
        <v>0</v>
      </c>
      <c r="AF59" s="279">
        <f t="shared" si="9"/>
        <v>0</v>
      </c>
      <c r="AG59" s="279">
        <f t="shared" si="10"/>
        <v>0</v>
      </c>
      <c r="AH59" s="418">
        <f t="shared" si="11"/>
        <v>0</v>
      </c>
      <c r="AI59" s="296">
        <f>IF(Simulador!$T$67=1,'Tabla de amortizacion'!AJ59,'Tabla de amortizacion'!AR59)</f>
        <v>0.0975</v>
      </c>
      <c r="AJ59" s="297">
        <f t="shared" si="38"/>
        <v>0.0975</v>
      </c>
      <c r="AK59" s="298">
        <f t="shared" si="12"/>
        <v>0</v>
      </c>
      <c r="AL59" s="297">
        <f t="shared" si="39"/>
        <v>0.0935</v>
      </c>
      <c r="AM59" s="297">
        <f t="shared" si="35"/>
        <v>0.0935</v>
      </c>
      <c r="AN59" s="520">
        <f t="shared" si="36"/>
        <v>0.0935</v>
      </c>
      <c r="AO59" s="520">
        <f t="shared" si="37"/>
        <v>0.0935</v>
      </c>
      <c r="AP59" s="299">
        <v>0</v>
      </c>
      <c r="AQ59" s="414">
        <f t="shared" si="16"/>
        <v>0</v>
      </c>
      <c r="AR59" s="300">
        <f>IF(AND(Simulador!$T$67=2,Simulador!$T$61=1),AL59,IF(AND(Simulador!$T$67=2,Simulador!$T$61=2),AM59,IF(AND(Simulador!$T$67=2,Simulador!$T$61=3),AN59,AO59)))</f>
        <v>0.0935</v>
      </c>
      <c r="AS59" s="281"/>
      <c r="AT59" s="70">
        <f t="shared" si="30"/>
        <v>0</v>
      </c>
      <c r="AU59" s="70">
        <f t="shared" si="18"/>
        <v>0</v>
      </c>
      <c r="AV59" s="71">
        <f t="shared" si="3"/>
        <v>0</v>
      </c>
      <c r="AW59" s="70">
        <f t="shared" si="4"/>
        <v>0</v>
      </c>
      <c r="AX59" s="70">
        <f t="shared" si="19"/>
        <v>0</v>
      </c>
      <c r="AY59" s="72">
        <f t="shared" si="5"/>
      </c>
      <c r="AZ59" s="70">
        <f>_xlfn.IFERROR(IF(Simulador!$U$29=1,0,IF($AT59&lt;=0.01,0,$AT59*Simulador!$AA$42)),0)+_xlfn.IFERROR(IF(Simulador!$U$29=1,0,IF($AT59&lt;=0.01,0,IF(Simulador!$D$22&gt;0,Simulador!$D$22,Simulador!$O$24)*Simulador!$AA$43)),0)</f>
        <v>0</v>
      </c>
      <c r="BA59" s="73"/>
      <c r="BB59" s="70">
        <f t="shared" si="6"/>
        <v>0</v>
      </c>
      <c r="BC59">
        <f t="shared" si="20"/>
        <v>0</v>
      </c>
      <c r="BD59" s="431">
        <f t="shared" si="21"/>
      </c>
      <c r="BE59" s="432">
        <f t="shared" si="25"/>
        <v>0</v>
      </c>
      <c r="BF59" s="69">
        <v>45</v>
      </c>
      <c r="BG59" s="38"/>
      <c r="BJ59" s="69"/>
      <c r="BM59" s="432"/>
    </row>
    <row r="60" spans="1:65" ht="12">
      <c r="A60" s="531">
        <v>46</v>
      </c>
      <c r="B60" s="106">
        <f t="shared" si="22"/>
        <v>0</v>
      </c>
      <c r="C60" s="106"/>
      <c r="D60" s="107">
        <f>IF(B60+F60-D59&lt;=0,B60+F60,IF(AND(OR(Simulador!$U$38=2,Simulador!$U$38=7),J59=0),D59*(1+AA60),IF($AE$3=2,B60*AQ60,D59*(1+AA60))))</f>
        <v>0</v>
      </c>
      <c r="E60" s="107"/>
      <c r="F60" s="107">
        <f t="shared" si="0"/>
        <v>0</v>
      </c>
      <c r="G60" s="107"/>
      <c r="H60" s="107">
        <f t="shared" si="23"/>
        <v>0</v>
      </c>
      <c r="I60" s="108"/>
      <c r="J60" s="109"/>
      <c r="K60" s="108"/>
      <c r="L60" s="107">
        <f>IF(Simulador!$T$40=1,0,J60*Simulador!$W$38*1.16)</f>
        <v>0</v>
      </c>
      <c r="M60" s="107"/>
      <c r="N60" s="110">
        <f>IF(B60-H60=0,0,N58)</f>
        <v>0</v>
      </c>
      <c r="O60" s="13"/>
      <c r="P60" s="664">
        <f t="shared" si="1"/>
      </c>
      <c r="Q60" s="3"/>
      <c r="R60" s="107">
        <f t="shared" si="7"/>
        <v>0</v>
      </c>
      <c r="S60" s="107"/>
      <c r="T60" s="107">
        <f>_xlfn.IFERROR(IF(Simulador!$U$29=1,0,IF($B60&lt;=0,0,$B60*Simulador!$AA$42)),0)</f>
        <v>0</v>
      </c>
      <c r="U60" s="107"/>
      <c r="V60" s="107">
        <f>_xlfn.IFERROR(IF(Simulador!$U$29=1,0,IF($B60&lt;=0,0,IF(Simulador!$D$22&gt;0,Simulador!$D$22,Simulador!$O$24)*Simulador!$AA$43)),0)</f>
        <v>0</v>
      </c>
      <c r="W60" s="107"/>
      <c r="X60" s="107"/>
      <c r="Y60" s="107">
        <f t="shared" si="2"/>
        <v>0</v>
      </c>
      <c r="Z60" s="14"/>
      <c r="AA60" s="19"/>
      <c r="AB60" s="24"/>
      <c r="AC60" s="303">
        <v>3</v>
      </c>
      <c r="AD60" s="302">
        <v>10</v>
      </c>
      <c r="AE60" s="400">
        <f t="shared" si="8"/>
        <v>0</v>
      </c>
      <c r="AF60" s="279">
        <f t="shared" si="9"/>
        <v>0</v>
      </c>
      <c r="AG60" s="279">
        <f t="shared" si="10"/>
        <v>0</v>
      </c>
      <c r="AH60" s="418">
        <f t="shared" si="11"/>
        <v>0</v>
      </c>
      <c r="AI60" s="296">
        <f>IF(Simulador!$T$67=1,'Tabla de amortizacion'!AJ60,'Tabla de amortizacion'!AR60)</f>
        <v>0.0975</v>
      </c>
      <c r="AJ60" s="297">
        <f t="shared" si="38"/>
        <v>0.0975</v>
      </c>
      <c r="AK60" s="298">
        <f t="shared" si="12"/>
        <v>0</v>
      </c>
      <c r="AL60" s="297">
        <f t="shared" si="39"/>
        <v>0.0935</v>
      </c>
      <c r="AM60" s="297">
        <f t="shared" si="35"/>
        <v>0.0935</v>
      </c>
      <c r="AN60" s="520">
        <f t="shared" si="36"/>
        <v>0.0935</v>
      </c>
      <c r="AO60" s="520">
        <f t="shared" si="37"/>
        <v>0.0935</v>
      </c>
      <c r="AP60" s="299">
        <v>0</v>
      </c>
      <c r="AQ60" s="414">
        <f t="shared" si="16"/>
        <v>0</v>
      </c>
      <c r="AR60" s="300">
        <f>IF(AND(Simulador!$T$67=2,Simulador!$T$61=1),AL60,IF(AND(Simulador!$T$67=2,Simulador!$T$61=2),AM60,IF(AND(Simulador!$T$67=2,Simulador!$T$61=3),AN60,AO60)))</f>
        <v>0.0935</v>
      </c>
      <c r="AS60" s="281"/>
      <c r="AT60" s="70">
        <f t="shared" si="30"/>
        <v>0</v>
      </c>
      <c r="AU60" s="70">
        <f t="shared" si="18"/>
        <v>0</v>
      </c>
      <c r="AV60" s="71">
        <f t="shared" si="3"/>
        <v>0</v>
      </c>
      <c r="AW60" s="70">
        <f t="shared" si="4"/>
        <v>0</v>
      </c>
      <c r="AX60" s="70">
        <f t="shared" si="19"/>
        <v>0</v>
      </c>
      <c r="AY60" s="72">
        <f t="shared" si="5"/>
      </c>
      <c r="AZ60" s="70">
        <f>_xlfn.IFERROR(IF(Simulador!$U$29=1,0,IF($AT60&lt;=0.01,0,$AT60*Simulador!$AA$42)),0)+_xlfn.IFERROR(IF(Simulador!$U$29=1,0,IF($AT60&lt;=0.01,0,IF(Simulador!$D$22&gt;0,Simulador!$D$22,Simulador!$O$24)*Simulador!$AA$43)),0)</f>
        <v>0</v>
      </c>
      <c r="BA60" s="73"/>
      <c r="BB60" s="70">
        <f t="shared" si="6"/>
        <v>0</v>
      </c>
      <c r="BC60">
        <f t="shared" si="20"/>
        <v>0</v>
      </c>
      <c r="BD60" s="431">
        <f t="shared" si="21"/>
      </c>
      <c r="BE60" s="432">
        <f t="shared" si="25"/>
        <v>0</v>
      </c>
      <c r="BF60" s="69">
        <v>46</v>
      </c>
      <c r="BG60" s="38"/>
      <c r="BJ60" s="69"/>
      <c r="BM60" s="432"/>
    </row>
    <row r="61" spans="1:65" ht="12">
      <c r="A61" s="531">
        <v>47</v>
      </c>
      <c r="B61" s="106">
        <f t="shared" si="22"/>
        <v>0</v>
      </c>
      <c r="C61" s="106"/>
      <c r="D61" s="107">
        <f>IF(B61+F61-D60&lt;=0,B61+F61,IF(AND(OR(Simulador!$U$38=2,Simulador!$U$38=7),J60=0),D60*(1+AA61),IF($AE$3=2,B61*AQ61,D60*(1+AA61))))</f>
        <v>0</v>
      </c>
      <c r="E61" s="107"/>
      <c r="F61" s="107">
        <f t="shared" si="0"/>
        <v>0</v>
      </c>
      <c r="G61" s="107"/>
      <c r="H61" s="107">
        <f t="shared" si="23"/>
        <v>0</v>
      </c>
      <c r="I61" s="108"/>
      <c r="J61" s="109"/>
      <c r="K61" s="108"/>
      <c r="L61" s="107">
        <f>IF(Simulador!$T$40=1,0,J61*Simulador!$W$38*1.16)</f>
        <v>0</v>
      </c>
      <c r="M61" s="107"/>
      <c r="N61" s="111"/>
      <c r="O61" s="13"/>
      <c r="P61" s="664">
        <f t="shared" si="1"/>
      </c>
      <c r="Q61" s="3"/>
      <c r="R61" s="107">
        <f t="shared" si="7"/>
        <v>0</v>
      </c>
      <c r="S61" s="107"/>
      <c r="T61" s="107">
        <f>_xlfn.IFERROR(IF(Simulador!$U$29=1,0,IF($B61&lt;=0,0,$B61*Simulador!$AA$42)),0)</f>
        <v>0</v>
      </c>
      <c r="U61" s="107"/>
      <c r="V61" s="107">
        <f>_xlfn.IFERROR(IF(Simulador!$U$29=1,0,IF($B61&lt;=0,0,IF(Simulador!$D$22&gt;0,Simulador!$D$22,Simulador!$O$24)*Simulador!$AA$43)),0)</f>
        <v>0</v>
      </c>
      <c r="W61" s="107"/>
      <c r="X61" s="107"/>
      <c r="Y61" s="107">
        <f t="shared" si="2"/>
        <v>0</v>
      </c>
      <c r="Z61" s="14"/>
      <c r="AA61" s="19"/>
      <c r="AB61" s="24"/>
      <c r="AC61" s="303">
        <v>3</v>
      </c>
      <c r="AD61" s="295">
        <v>11</v>
      </c>
      <c r="AE61" s="400">
        <f t="shared" si="8"/>
        <v>0</v>
      </c>
      <c r="AF61" s="279">
        <f t="shared" si="9"/>
        <v>0</v>
      </c>
      <c r="AG61" s="279">
        <f t="shared" si="10"/>
        <v>0</v>
      </c>
      <c r="AH61" s="418">
        <f t="shared" si="11"/>
        <v>0</v>
      </c>
      <c r="AI61" s="296">
        <f>IF(Simulador!$T$67=1,'Tabla de amortizacion'!AJ61,'Tabla de amortizacion'!AR61)</f>
        <v>0.0975</v>
      </c>
      <c r="AJ61" s="297">
        <f t="shared" si="38"/>
        <v>0.0975</v>
      </c>
      <c r="AK61" s="298">
        <f t="shared" si="12"/>
        <v>0</v>
      </c>
      <c r="AL61" s="297">
        <f t="shared" si="39"/>
        <v>0.0935</v>
      </c>
      <c r="AM61" s="297">
        <f t="shared" si="35"/>
        <v>0.0935</v>
      </c>
      <c r="AN61" s="520">
        <f t="shared" si="36"/>
        <v>0.0935</v>
      </c>
      <c r="AO61" s="520">
        <f t="shared" si="37"/>
        <v>0.0935</v>
      </c>
      <c r="AP61" s="299">
        <v>0</v>
      </c>
      <c r="AQ61" s="414">
        <f t="shared" si="16"/>
        <v>0</v>
      </c>
      <c r="AR61" s="300">
        <f>IF(AND(Simulador!$T$67=2,Simulador!$T$61=1),AL61,IF(AND(Simulador!$T$67=2,Simulador!$T$61=2),AM61,IF(AND(Simulador!$T$67=2,Simulador!$T$61=3),AN61,AO61)))</f>
        <v>0.0935</v>
      </c>
      <c r="AS61" s="281"/>
      <c r="AT61" s="70">
        <f t="shared" si="30"/>
        <v>0</v>
      </c>
      <c r="AU61" s="70">
        <f t="shared" si="18"/>
        <v>0</v>
      </c>
      <c r="AV61" s="71">
        <f t="shared" si="3"/>
        <v>0</v>
      </c>
      <c r="AW61" s="70">
        <f t="shared" si="4"/>
        <v>0</v>
      </c>
      <c r="AX61" s="70">
        <f t="shared" si="19"/>
        <v>0</v>
      </c>
      <c r="AY61" s="72">
        <f t="shared" si="5"/>
      </c>
      <c r="AZ61" s="70">
        <f>_xlfn.IFERROR(IF(Simulador!$U$29=1,0,IF($AT61&lt;=0.01,0,$AT61*Simulador!$AA$42)),0)+_xlfn.IFERROR(IF(Simulador!$U$29=1,0,IF($AT61&lt;=0.01,0,IF(Simulador!$D$22&gt;0,Simulador!$D$22,Simulador!$O$24)*Simulador!$AA$43)),0)</f>
        <v>0</v>
      </c>
      <c r="BA61" s="73"/>
      <c r="BB61" s="70">
        <f t="shared" si="6"/>
        <v>0</v>
      </c>
      <c r="BC61">
        <f t="shared" si="20"/>
        <v>0</v>
      </c>
      <c r="BD61" s="431">
        <f t="shared" si="21"/>
      </c>
      <c r="BE61" s="432">
        <f t="shared" si="25"/>
        <v>0</v>
      </c>
      <c r="BF61" s="69">
        <v>47</v>
      </c>
      <c r="BG61" s="38"/>
      <c r="BJ61" s="69"/>
      <c r="BM61" s="432"/>
    </row>
    <row r="62" spans="1:65" ht="12">
      <c r="A62" s="531">
        <v>48</v>
      </c>
      <c r="B62" s="106">
        <f t="shared" si="22"/>
        <v>0</v>
      </c>
      <c r="C62" s="106"/>
      <c r="D62" s="107">
        <f>IF(B62+F62-D61&lt;=0,B62+F62,IF(AND(OR(Simulador!$U$38=2,Simulador!$U$38=7),J61=0),D61*(1+AA62),IF($AE$3=2,B62*AQ62,D61*(1+AA62))))</f>
        <v>0</v>
      </c>
      <c r="E62" s="107"/>
      <c r="F62" s="107">
        <f t="shared" si="0"/>
        <v>0</v>
      </c>
      <c r="G62" s="107"/>
      <c r="H62" s="107">
        <f t="shared" si="23"/>
        <v>0</v>
      </c>
      <c r="I62" s="108"/>
      <c r="J62" s="109"/>
      <c r="K62" s="108"/>
      <c r="L62" s="107">
        <f>IF(Simulador!$T$40=1,0,J62*Simulador!$W$38*1.16)</f>
        <v>0</v>
      </c>
      <c r="M62" s="107"/>
      <c r="N62" s="110">
        <f>IF(B62-H62=0,0,N60)</f>
        <v>0</v>
      </c>
      <c r="O62" s="13"/>
      <c r="P62" s="664">
        <f t="shared" si="1"/>
      </c>
      <c r="Q62" s="3"/>
      <c r="R62" s="107">
        <f t="shared" si="7"/>
        <v>0</v>
      </c>
      <c r="S62" s="107"/>
      <c r="T62" s="107">
        <f>_xlfn.IFERROR(IF(Simulador!$U$29=1,0,IF($B62&lt;=0,0,$B62*Simulador!$AA$42)),0)</f>
        <v>0</v>
      </c>
      <c r="U62" s="107"/>
      <c r="V62" s="107">
        <f>_xlfn.IFERROR(IF(Simulador!$U$29=1,0,IF($B62&lt;=0,0,IF(Simulador!$D$22&gt;0,Simulador!$D$22,Simulador!$O$24)*Simulador!$AA$43)),0)</f>
        <v>0</v>
      </c>
      <c r="W62" s="107"/>
      <c r="X62" s="107"/>
      <c r="Y62" s="107">
        <f t="shared" si="2"/>
        <v>0</v>
      </c>
      <c r="Z62" s="14"/>
      <c r="AA62" s="19"/>
      <c r="AB62" s="24"/>
      <c r="AC62" s="303">
        <v>4</v>
      </c>
      <c r="AD62" s="295">
        <v>0</v>
      </c>
      <c r="AE62" s="400">
        <f t="shared" si="8"/>
        <v>0</v>
      </c>
      <c r="AF62" s="279">
        <f t="shared" si="9"/>
        <v>0</v>
      </c>
      <c r="AG62" s="279">
        <f t="shared" si="10"/>
        <v>0</v>
      </c>
      <c r="AH62" s="418">
        <f t="shared" si="11"/>
        <v>0</v>
      </c>
      <c r="AI62" s="296">
        <f>IF(Simulador!$T$67=1,'Tabla de amortizacion'!AJ62,'Tabla de amortizacion'!AR62)</f>
        <v>0.0975</v>
      </c>
      <c r="AJ62" s="297">
        <f t="shared" si="38"/>
        <v>0.0975</v>
      </c>
      <c r="AK62" s="298">
        <f t="shared" si="12"/>
        <v>0</v>
      </c>
      <c r="AL62" s="297">
        <f t="shared" si="39"/>
        <v>0.0935</v>
      </c>
      <c r="AM62" s="297">
        <f t="shared" si="35"/>
        <v>0.0935</v>
      </c>
      <c r="AN62" s="520">
        <f t="shared" si="36"/>
        <v>0.0935</v>
      </c>
      <c r="AO62" s="520">
        <f t="shared" si="37"/>
        <v>0.0935</v>
      </c>
      <c r="AP62" s="299">
        <v>0</v>
      </c>
      <c r="AQ62" s="414">
        <f t="shared" si="16"/>
        <v>0</v>
      </c>
      <c r="AR62" s="300">
        <f>IF(AND(Simulador!$T$67=2,Simulador!$T$61=1),AL62,IF(AND(Simulador!$T$67=2,Simulador!$T$61=2),AM62,IF(AND(Simulador!$T$67=2,Simulador!$T$61=3),AN62,AO62)))</f>
        <v>0.0935</v>
      </c>
      <c r="AS62" s="281"/>
      <c r="AT62" s="70">
        <f t="shared" si="30"/>
        <v>0</v>
      </c>
      <c r="AU62" s="70">
        <f t="shared" si="18"/>
        <v>0</v>
      </c>
      <c r="AV62" s="71">
        <f t="shared" si="3"/>
        <v>0</v>
      </c>
      <c r="AW62" s="70">
        <f t="shared" si="4"/>
        <v>0</v>
      </c>
      <c r="AX62" s="70">
        <f t="shared" si="19"/>
        <v>0</v>
      </c>
      <c r="AY62" s="72">
        <f t="shared" si="5"/>
      </c>
      <c r="AZ62" s="70">
        <f>_xlfn.IFERROR(IF(Simulador!$U$29=1,0,IF($AT62&lt;=0.01,0,$AT62*Simulador!$AA$42)),0)+_xlfn.IFERROR(IF(Simulador!$U$29=1,0,IF($AT62&lt;=0.01,0,IF(Simulador!$D$22&gt;0,Simulador!$D$22,Simulador!$O$24)*Simulador!$AA$43)),0)</f>
        <v>0</v>
      </c>
      <c r="BA62" s="73"/>
      <c r="BB62" s="70">
        <f t="shared" si="6"/>
        <v>0</v>
      </c>
      <c r="BC62">
        <f t="shared" si="20"/>
        <v>0</v>
      </c>
      <c r="BD62" s="431">
        <f t="shared" si="21"/>
      </c>
      <c r="BE62" s="432">
        <f t="shared" si="25"/>
        <v>0</v>
      </c>
      <c r="BF62" s="69">
        <v>48</v>
      </c>
      <c r="BG62" s="38"/>
      <c r="BJ62" s="69"/>
      <c r="BM62" s="432"/>
    </row>
    <row r="63" spans="1:65" ht="12">
      <c r="A63" s="531">
        <v>49</v>
      </c>
      <c r="B63" s="106">
        <f t="shared" si="22"/>
        <v>0</v>
      </c>
      <c r="C63" s="106"/>
      <c r="D63" s="107">
        <f>IF(B63+F63-D62&lt;=0,B63+F63,IF(AND(OR(Simulador!$U$38=2,Simulador!$U$38=7),J62=0),D62*(1+AA63),IF($AE$3=2,B63*AQ63,D62*(1+AA63))))</f>
        <v>0</v>
      </c>
      <c r="E63" s="107"/>
      <c r="F63" s="107">
        <f t="shared" si="0"/>
        <v>0</v>
      </c>
      <c r="G63" s="107"/>
      <c r="H63" s="107">
        <f t="shared" si="23"/>
        <v>0</v>
      </c>
      <c r="I63" s="108"/>
      <c r="J63" s="109"/>
      <c r="K63" s="108"/>
      <c r="L63" s="107">
        <f>IF(Simulador!$T$40=1,0,J63*Simulador!$W$38*1.16)</f>
        <v>0</v>
      </c>
      <c r="M63" s="107"/>
      <c r="N63" s="111"/>
      <c r="O63" s="13"/>
      <c r="P63" s="664">
        <f t="shared" si="1"/>
      </c>
      <c r="Q63" s="3"/>
      <c r="R63" s="107">
        <f t="shared" si="7"/>
        <v>0</v>
      </c>
      <c r="S63" s="107"/>
      <c r="T63" s="107">
        <f>_xlfn.IFERROR(IF(Simulador!$U$29=1,0,IF($B63&lt;=0,0,$B63*Simulador!$AA$42)),0)</f>
        <v>0</v>
      </c>
      <c r="U63" s="107"/>
      <c r="V63" s="107">
        <f>_xlfn.IFERROR(IF(Simulador!$U$29=1,0,IF($B63&lt;=0,0,IF(Simulador!$D$22&gt;0,Simulador!$D$22,Simulador!$O$24)*Simulador!$AA$43)),0)</f>
        <v>0</v>
      </c>
      <c r="W63" s="107"/>
      <c r="X63" s="107"/>
      <c r="Y63" s="107">
        <f t="shared" si="2"/>
        <v>0</v>
      </c>
      <c r="Z63" s="14"/>
      <c r="AA63" s="19">
        <f>IF(B63&lt;=0,0,Simulador!$I$42)</f>
        <v>0</v>
      </c>
      <c r="AB63" s="24"/>
      <c r="AC63" s="303">
        <v>4</v>
      </c>
      <c r="AD63" s="295">
        <v>1</v>
      </c>
      <c r="AE63" s="400">
        <f t="shared" si="8"/>
        <v>0</v>
      </c>
      <c r="AF63" s="279">
        <f t="shared" si="9"/>
        <v>0</v>
      </c>
      <c r="AG63" s="279">
        <f t="shared" si="10"/>
        <v>0</v>
      </c>
      <c r="AH63" s="418">
        <f t="shared" si="11"/>
        <v>0</v>
      </c>
      <c r="AI63" s="296">
        <f>IF(Simulador!$T$67=1,'Tabla de amortizacion'!AJ63,'Tabla de amortizacion'!AR63)</f>
        <v>0.095</v>
      </c>
      <c r="AJ63" s="297">
        <f>IF(AJ62=$AM$4,AJ62,IF(AJ62-0.25%&lt;=$AM$4,$AM$4,AJ62-0.25%))</f>
        <v>0.095</v>
      </c>
      <c r="AK63" s="298">
        <f t="shared" si="12"/>
        <v>0</v>
      </c>
      <c r="AL63" s="562">
        <f>AL62-0.15%</f>
        <v>0.092</v>
      </c>
      <c r="AM63" s="562">
        <f>AM62-0.15%</f>
        <v>0.092</v>
      </c>
      <c r="AN63" s="562">
        <f>AN62-0.15%</f>
        <v>0.092</v>
      </c>
      <c r="AO63" s="562">
        <f>AO62-0.15%</f>
        <v>0.092</v>
      </c>
      <c r="AP63" s="299">
        <v>0</v>
      </c>
      <c r="AQ63" s="414">
        <f t="shared" si="16"/>
        <v>0</v>
      </c>
      <c r="AR63" s="300">
        <f>IF(AND(Simulador!$T$67=2,Simulador!$T$61=1),AL63,IF(AND(Simulador!$T$67=2,Simulador!$T$61=2),AM63,IF(AND(Simulador!$T$67=2,Simulador!$T$61=3),AN63,AO63)))</f>
        <v>0.092</v>
      </c>
      <c r="AS63" s="281"/>
      <c r="AT63" s="70">
        <f t="shared" si="30"/>
        <v>0</v>
      </c>
      <c r="AU63" s="70">
        <f t="shared" si="18"/>
        <v>0</v>
      </c>
      <c r="AV63" s="71">
        <f t="shared" si="3"/>
        <v>0</v>
      </c>
      <c r="AW63" s="70">
        <f t="shared" si="4"/>
        <v>0</v>
      </c>
      <c r="AX63" s="70">
        <f t="shared" si="19"/>
        <v>0</v>
      </c>
      <c r="AY63" s="72">
        <f t="shared" si="5"/>
      </c>
      <c r="AZ63" s="70">
        <f>_xlfn.IFERROR(IF(Simulador!$U$29=1,0,IF($AT63&lt;=0.01,0,$AT63*Simulador!$AA$42)),0)+_xlfn.IFERROR(IF(Simulador!$U$29=1,0,IF($AT63&lt;=0.01,0,IF(Simulador!$D$22&gt;0,Simulador!$D$22,Simulador!$O$24)*Simulador!$AA$43)),0)</f>
        <v>0</v>
      </c>
      <c r="BA63" s="73">
        <f>IF(AT63&lt;=0,0,$BA$27)</f>
        <v>0</v>
      </c>
      <c r="BB63" s="70">
        <f t="shared" si="6"/>
        <v>0</v>
      </c>
      <c r="BC63">
        <f t="shared" si="20"/>
        <v>0</v>
      </c>
      <c r="BD63" s="431">
        <f t="shared" si="21"/>
      </c>
      <c r="BE63" s="432">
        <f t="shared" si="25"/>
        <v>0</v>
      </c>
      <c r="BF63" s="69">
        <v>49</v>
      </c>
      <c r="BG63" s="38"/>
      <c r="BJ63" s="69"/>
      <c r="BM63" s="432"/>
    </row>
    <row r="64" spans="1:65" ht="12">
      <c r="A64" s="531">
        <v>50</v>
      </c>
      <c r="B64" s="106">
        <f t="shared" si="22"/>
        <v>0</v>
      </c>
      <c r="C64" s="106"/>
      <c r="D64" s="107">
        <f>IF(B64+F64-D63&lt;=0,B64+F64,IF(AND(OR(Simulador!$U$38=2,Simulador!$U$38=7),J63=0),D63*(1+AA64),IF($AE$3=2,B64*AQ64,D63*(1+AA64))))</f>
        <v>0</v>
      </c>
      <c r="E64" s="107"/>
      <c r="F64" s="107">
        <f t="shared" si="0"/>
        <v>0</v>
      </c>
      <c r="G64" s="107"/>
      <c r="H64" s="107">
        <f t="shared" si="23"/>
        <v>0</v>
      </c>
      <c r="I64" s="108"/>
      <c r="J64" s="109"/>
      <c r="K64" s="108"/>
      <c r="L64" s="107">
        <f>IF(Simulador!$T$40=1,0,J64*Simulador!$W$38*1.16)</f>
        <v>0</v>
      </c>
      <c r="M64" s="107"/>
      <c r="N64" s="110">
        <f>IF(B64-H64=0,0,N62*(1+(Simulador!$AF$76)))</f>
        <v>0</v>
      </c>
      <c r="O64" s="13"/>
      <c r="P64" s="664">
        <f t="shared" si="1"/>
      </c>
      <c r="Q64" s="3"/>
      <c r="R64" s="107">
        <f t="shared" si="7"/>
        <v>0</v>
      </c>
      <c r="S64" s="107"/>
      <c r="T64" s="107">
        <f>_xlfn.IFERROR(IF(Simulador!$U$29=1,0,IF($B64&lt;=0,0,$B64*Simulador!$AA$42)),0)</f>
        <v>0</v>
      </c>
      <c r="U64" s="107"/>
      <c r="V64" s="107">
        <f>_xlfn.IFERROR(IF(Simulador!$U$29=1,0,IF($B64&lt;=0,0,IF(Simulador!$D$22&gt;0,Simulador!$D$22,Simulador!$O$24)*Simulador!$AA$43)),0)</f>
        <v>0</v>
      </c>
      <c r="W64" s="107"/>
      <c r="X64" s="107"/>
      <c r="Y64" s="107">
        <f t="shared" si="2"/>
        <v>0</v>
      </c>
      <c r="Z64" s="14"/>
      <c r="AA64" s="19"/>
      <c r="AB64" s="24"/>
      <c r="AC64" s="303">
        <v>4</v>
      </c>
      <c r="AD64" s="301">
        <v>2</v>
      </c>
      <c r="AE64" s="400">
        <f t="shared" si="8"/>
        <v>0</v>
      </c>
      <c r="AF64" s="279">
        <f t="shared" si="9"/>
        <v>0</v>
      </c>
      <c r="AG64" s="279">
        <f t="shared" si="10"/>
        <v>0</v>
      </c>
      <c r="AH64" s="418">
        <f t="shared" si="11"/>
        <v>0</v>
      </c>
      <c r="AI64" s="296">
        <f>IF(Simulador!$T$67=1,'Tabla de amortizacion'!AJ64,'Tabla de amortizacion'!AR64)</f>
        <v>0.095</v>
      </c>
      <c r="AJ64" s="297">
        <f>AJ63</f>
        <v>0.095</v>
      </c>
      <c r="AK64" s="298">
        <f t="shared" si="12"/>
        <v>0</v>
      </c>
      <c r="AL64" s="297">
        <f>AL63</f>
        <v>0.092</v>
      </c>
      <c r="AM64" s="297">
        <f aca="true" t="shared" si="40" ref="AM64:AM73">AM63</f>
        <v>0.092</v>
      </c>
      <c r="AN64" s="520">
        <f aca="true" t="shared" si="41" ref="AN64:AN73">AN63</f>
        <v>0.092</v>
      </c>
      <c r="AO64" s="520">
        <f aca="true" t="shared" si="42" ref="AO64:AO73">AO63</f>
        <v>0.092</v>
      </c>
      <c r="AP64" s="299">
        <v>0</v>
      </c>
      <c r="AQ64" s="414">
        <f t="shared" si="16"/>
        <v>0</v>
      </c>
      <c r="AR64" s="300">
        <f>IF(AND(Simulador!$T$67=2,Simulador!$T$61=1),AL64,IF(AND(Simulador!$T$67=2,Simulador!$T$61=2),AM64,IF(AND(Simulador!$T$67=2,Simulador!$T$61=3),AN64,AO64)))</f>
        <v>0.092</v>
      </c>
      <c r="AS64" s="281"/>
      <c r="AT64" s="70">
        <f t="shared" si="30"/>
        <v>0</v>
      </c>
      <c r="AU64" s="70">
        <f t="shared" si="18"/>
        <v>0</v>
      </c>
      <c r="AV64" s="71">
        <f t="shared" si="3"/>
        <v>0</v>
      </c>
      <c r="AW64" s="70">
        <f t="shared" si="4"/>
        <v>0</v>
      </c>
      <c r="AX64" s="70">
        <f t="shared" si="19"/>
        <v>0</v>
      </c>
      <c r="AY64" s="72">
        <f t="shared" si="5"/>
      </c>
      <c r="AZ64" s="70">
        <f>_xlfn.IFERROR(IF(Simulador!$U$29=1,0,IF($AT64&lt;=0.01,0,$AT64*Simulador!$AA$42)),0)+_xlfn.IFERROR(IF(Simulador!$U$29=1,0,IF($AT64&lt;=0.01,0,IF(Simulador!$D$22&gt;0,Simulador!$D$22,Simulador!$O$24)*Simulador!$AA$43)),0)</f>
        <v>0</v>
      </c>
      <c r="BA64" s="73"/>
      <c r="BB64" s="70">
        <f t="shared" si="6"/>
        <v>0</v>
      </c>
      <c r="BC64">
        <f t="shared" si="20"/>
        <v>0</v>
      </c>
      <c r="BD64" s="431">
        <f t="shared" si="21"/>
      </c>
      <c r="BE64" s="432">
        <f t="shared" si="25"/>
        <v>0</v>
      </c>
      <c r="BF64" s="69">
        <v>50</v>
      </c>
      <c r="BG64" s="38"/>
      <c r="BJ64" s="69"/>
      <c r="BM64" s="432"/>
    </row>
    <row r="65" spans="1:65" ht="12">
      <c r="A65" s="531">
        <v>51</v>
      </c>
      <c r="B65" s="106">
        <f t="shared" si="22"/>
        <v>0</v>
      </c>
      <c r="C65" s="106"/>
      <c r="D65" s="107">
        <f>IF(B65+F65-D64&lt;=0,B65+F65,IF(AND(OR(Simulador!$U$38=2,Simulador!$U$38=7),J64=0),D64*(1+AA65),IF($AE$3=2,B65*AQ65,D64*(1+AA65))))</f>
        <v>0</v>
      </c>
      <c r="E65" s="107"/>
      <c r="F65" s="107">
        <f t="shared" si="0"/>
        <v>0</v>
      </c>
      <c r="G65" s="107"/>
      <c r="H65" s="107">
        <f t="shared" si="23"/>
        <v>0</v>
      </c>
      <c r="I65" s="108"/>
      <c r="J65" s="109"/>
      <c r="K65" s="108"/>
      <c r="L65" s="107">
        <f>IF(Simulador!$T$40=1,0,J65*Simulador!$W$38*1.16)</f>
        <v>0</v>
      </c>
      <c r="M65" s="107"/>
      <c r="N65" s="111"/>
      <c r="O65" s="13"/>
      <c r="P65" s="664">
        <f t="shared" si="1"/>
      </c>
      <c r="Q65" s="3"/>
      <c r="R65" s="107">
        <f t="shared" si="7"/>
        <v>0</v>
      </c>
      <c r="S65" s="107"/>
      <c r="T65" s="107">
        <f>_xlfn.IFERROR(IF(Simulador!$U$29=1,0,IF($B65&lt;=0,0,$B65*Simulador!$AA$42)),0)</f>
        <v>0</v>
      </c>
      <c r="U65" s="107"/>
      <c r="V65" s="107">
        <f>_xlfn.IFERROR(IF(Simulador!$U$29=1,0,IF($B65&lt;=0,0,IF(Simulador!$D$22&gt;0,Simulador!$D$22,Simulador!$O$24)*Simulador!$AA$43)),0)</f>
        <v>0</v>
      </c>
      <c r="W65" s="107"/>
      <c r="X65" s="107"/>
      <c r="Y65" s="107">
        <f t="shared" si="2"/>
        <v>0</v>
      </c>
      <c r="Z65" s="14"/>
      <c r="AA65" s="19"/>
      <c r="AB65" s="24"/>
      <c r="AC65" s="303">
        <v>4</v>
      </c>
      <c r="AD65" s="301">
        <v>3</v>
      </c>
      <c r="AE65" s="400">
        <f t="shared" si="8"/>
        <v>0</v>
      </c>
      <c r="AF65" s="279">
        <f t="shared" si="9"/>
        <v>0</v>
      </c>
      <c r="AG65" s="279">
        <f t="shared" si="10"/>
        <v>0</v>
      </c>
      <c r="AH65" s="418">
        <f t="shared" si="11"/>
        <v>0</v>
      </c>
      <c r="AI65" s="296">
        <f>IF(Simulador!$T$67=1,'Tabla de amortizacion'!AJ65,'Tabla de amortizacion'!AR65)</f>
        <v>0.095</v>
      </c>
      <c r="AJ65" s="297">
        <f aca="true" t="shared" si="43" ref="AJ65:AJ74">AJ64</f>
        <v>0.095</v>
      </c>
      <c r="AK65" s="298">
        <f t="shared" si="12"/>
        <v>0</v>
      </c>
      <c r="AL65" s="297">
        <f aca="true" t="shared" si="44" ref="AL65:AL73">AL64</f>
        <v>0.092</v>
      </c>
      <c r="AM65" s="297">
        <f t="shared" si="40"/>
        <v>0.092</v>
      </c>
      <c r="AN65" s="520">
        <f t="shared" si="41"/>
        <v>0.092</v>
      </c>
      <c r="AO65" s="520">
        <f t="shared" si="42"/>
        <v>0.092</v>
      </c>
      <c r="AP65" s="299">
        <v>0</v>
      </c>
      <c r="AQ65" s="414">
        <f t="shared" si="16"/>
        <v>0</v>
      </c>
      <c r="AR65" s="300">
        <f>IF(AND(Simulador!$T$67=2,Simulador!$T$61=1),AL65,IF(AND(Simulador!$T$67=2,Simulador!$T$61=2),AM65,IF(AND(Simulador!$T$67=2,Simulador!$T$61=3),AN65,AO65)))</f>
        <v>0.092</v>
      </c>
      <c r="AS65" s="281"/>
      <c r="AT65" s="70">
        <f t="shared" si="30"/>
        <v>0</v>
      </c>
      <c r="AU65" s="70">
        <f t="shared" si="18"/>
        <v>0</v>
      </c>
      <c r="AV65" s="71">
        <f t="shared" si="3"/>
        <v>0</v>
      </c>
      <c r="AW65" s="70">
        <f t="shared" si="4"/>
        <v>0</v>
      </c>
      <c r="AX65" s="70">
        <f t="shared" si="19"/>
        <v>0</v>
      </c>
      <c r="AY65" s="72">
        <f t="shared" si="5"/>
      </c>
      <c r="AZ65" s="70">
        <f>_xlfn.IFERROR(IF(Simulador!$U$29=1,0,IF($AT65&lt;=0.01,0,$AT65*Simulador!$AA$42)),0)+_xlfn.IFERROR(IF(Simulador!$U$29=1,0,IF($AT65&lt;=0.01,0,IF(Simulador!$D$22&gt;0,Simulador!$D$22,Simulador!$O$24)*Simulador!$AA$43)),0)</f>
        <v>0</v>
      </c>
      <c r="BA65" s="73"/>
      <c r="BB65" s="70">
        <f t="shared" si="6"/>
        <v>0</v>
      </c>
      <c r="BC65">
        <f t="shared" si="20"/>
        <v>0</v>
      </c>
      <c r="BD65" s="431">
        <f t="shared" si="21"/>
      </c>
      <c r="BE65" s="432">
        <f t="shared" si="25"/>
        <v>0</v>
      </c>
      <c r="BF65" s="69">
        <v>51</v>
      </c>
      <c r="BG65" s="38"/>
      <c r="BJ65" s="69"/>
      <c r="BM65" s="432"/>
    </row>
    <row r="66" spans="1:65" ht="12">
      <c r="A66" s="531">
        <v>52</v>
      </c>
      <c r="B66" s="106">
        <f t="shared" si="22"/>
        <v>0</v>
      </c>
      <c r="C66" s="106"/>
      <c r="D66" s="107">
        <f>IF(B66+F66-D65&lt;=0,B66+F66,IF(AND(OR(Simulador!$U$38=2,Simulador!$U$38=7),J65=0),D65*(1+AA66),IF($AE$3=2,B66*AQ66,D65*(1+AA66))))</f>
        <v>0</v>
      </c>
      <c r="E66" s="107"/>
      <c r="F66" s="107">
        <f t="shared" si="0"/>
        <v>0</v>
      </c>
      <c r="G66" s="107"/>
      <c r="H66" s="107">
        <f t="shared" si="23"/>
        <v>0</v>
      </c>
      <c r="I66" s="108"/>
      <c r="J66" s="109"/>
      <c r="K66" s="108"/>
      <c r="L66" s="107">
        <f>IF(Simulador!$T$40=1,0,J66*Simulador!$W$38*1.16)</f>
        <v>0</v>
      </c>
      <c r="M66" s="107"/>
      <c r="N66" s="110">
        <f>IF(B66-H66=0,0,N64)</f>
        <v>0</v>
      </c>
      <c r="O66" s="13"/>
      <c r="P66" s="664">
        <f t="shared" si="1"/>
      </c>
      <c r="Q66" s="3"/>
      <c r="R66" s="107">
        <f t="shared" si="7"/>
        <v>0</v>
      </c>
      <c r="S66" s="107"/>
      <c r="T66" s="107">
        <f>_xlfn.IFERROR(IF(Simulador!$U$29=1,0,IF($B66&lt;=0,0,$B66*Simulador!$AA$42)),0)</f>
        <v>0</v>
      </c>
      <c r="U66" s="107"/>
      <c r="V66" s="107">
        <f>_xlfn.IFERROR(IF(Simulador!$U$29=1,0,IF($B66&lt;=0,0,IF(Simulador!$D$22&gt;0,Simulador!$D$22,Simulador!$O$24)*Simulador!$AA$43)),0)</f>
        <v>0</v>
      </c>
      <c r="W66" s="107"/>
      <c r="X66" s="107"/>
      <c r="Y66" s="107">
        <f t="shared" si="2"/>
        <v>0</v>
      </c>
      <c r="Z66" s="14"/>
      <c r="AA66" s="19"/>
      <c r="AB66" s="24"/>
      <c r="AC66" s="303">
        <v>4</v>
      </c>
      <c r="AD66" s="295">
        <v>4</v>
      </c>
      <c r="AE66" s="400">
        <f t="shared" si="8"/>
        <v>0</v>
      </c>
      <c r="AF66" s="279">
        <f t="shared" si="9"/>
        <v>0</v>
      </c>
      <c r="AG66" s="279">
        <f t="shared" si="10"/>
        <v>0</v>
      </c>
      <c r="AH66" s="418">
        <f t="shared" si="11"/>
        <v>0</v>
      </c>
      <c r="AI66" s="296">
        <f>IF(Simulador!$T$67=1,'Tabla de amortizacion'!AJ66,'Tabla de amortizacion'!AR66)</f>
        <v>0.095</v>
      </c>
      <c r="AJ66" s="297">
        <f t="shared" si="43"/>
        <v>0.095</v>
      </c>
      <c r="AK66" s="298">
        <f t="shared" si="12"/>
        <v>0</v>
      </c>
      <c r="AL66" s="297">
        <f t="shared" si="44"/>
        <v>0.092</v>
      </c>
      <c r="AM66" s="297">
        <f t="shared" si="40"/>
        <v>0.092</v>
      </c>
      <c r="AN66" s="520">
        <f t="shared" si="41"/>
        <v>0.092</v>
      </c>
      <c r="AO66" s="520">
        <f t="shared" si="42"/>
        <v>0.092</v>
      </c>
      <c r="AP66" s="299">
        <v>0</v>
      </c>
      <c r="AQ66" s="414">
        <f t="shared" si="16"/>
        <v>0</v>
      </c>
      <c r="AR66" s="300">
        <f>IF(AND(Simulador!$T$67=2,Simulador!$T$61=1),AL66,IF(AND(Simulador!$T$67=2,Simulador!$T$61=2),AM66,IF(AND(Simulador!$T$67=2,Simulador!$T$61=3),AN66,AO66)))</f>
        <v>0.092</v>
      </c>
      <c r="AS66" s="281"/>
      <c r="AT66" s="70">
        <f t="shared" si="30"/>
        <v>0</v>
      </c>
      <c r="AU66" s="70">
        <f t="shared" si="18"/>
        <v>0</v>
      </c>
      <c r="AV66" s="71">
        <f t="shared" si="3"/>
        <v>0</v>
      </c>
      <c r="AW66" s="70">
        <f t="shared" si="4"/>
        <v>0</v>
      </c>
      <c r="AX66" s="70">
        <f t="shared" si="19"/>
        <v>0</v>
      </c>
      <c r="AY66" s="72">
        <f t="shared" si="5"/>
      </c>
      <c r="AZ66" s="70">
        <f>_xlfn.IFERROR(IF(Simulador!$U$29=1,0,IF($AT66&lt;=0.01,0,$AT66*Simulador!$AA$42)),0)+_xlfn.IFERROR(IF(Simulador!$U$29=1,0,IF($AT66&lt;=0.01,0,IF(Simulador!$D$22&gt;0,Simulador!$D$22,Simulador!$O$24)*Simulador!$AA$43)),0)</f>
        <v>0</v>
      </c>
      <c r="BA66" s="73"/>
      <c r="BB66" s="70">
        <f t="shared" si="6"/>
        <v>0</v>
      </c>
      <c r="BC66">
        <f t="shared" si="20"/>
        <v>0</v>
      </c>
      <c r="BD66" s="431">
        <f t="shared" si="21"/>
      </c>
      <c r="BE66" s="432">
        <f t="shared" si="25"/>
        <v>0</v>
      </c>
      <c r="BF66" s="69">
        <v>52</v>
      </c>
      <c r="BG66" s="38"/>
      <c r="BJ66" s="69"/>
      <c r="BM66" s="432"/>
    </row>
    <row r="67" spans="1:65" ht="12">
      <c r="A67" s="531">
        <v>53</v>
      </c>
      <c r="B67" s="106">
        <f t="shared" si="22"/>
        <v>0</v>
      </c>
      <c r="C67" s="106"/>
      <c r="D67" s="107">
        <f>IF(B67+F67-D66&lt;=0,B67+F67,IF(AND(OR(Simulador!$U$38=2,Simulador!$U$38=7),J66=0),D66*(1+AA67),IF($AE$3=2,B67*AQ67,D66*(1+AA67))))</f>
        <v>0</v>
      </c>
      <c r="E67" s="107"/>
      <c r="F67" s="107">
        <f t="shared" si="0"/>
        <v>0</v>
      </c>
      <c r="G67" s="107"/>
      <c r="H67" s="107">
        <f t="shared" si="23"/>
        <v>0</v>
      </c>
      <c r="I67" s="108"/>
      <c r="J67" s="109"/>
      <c r="K67" s="108"/>
      <c r="L67" s="107">
        <f>IF(Simulador!$T$40=1,0,J67*Simulador!$W$38*1.16)</f>
        <v>0</v>
      </c>
      <c r="M67" s="107"/>
      <c r="N67" s="111"/>
      <c r="O67" s="13"/>
      <c r="P67" s="664">
        <f t="shared" si="1"/>
      </c>
      <c r="Q67" s="3"/>
      <c r="R67" s="107">
        <f t="shared" si="7"/>
        <v>0</v>
      </c>
      <c r="S67" s="107"/>
      <c r="T67" s="107">
        <f>_xlfn.IFERROR(IF(Simulador!$U$29=1,0,IF($B67&lt;=0,0,$B67*Simulador!$AA$42)),0)</f>
        <v>0</v>
      </c>
      <c r="U67" s="107"/>
      <c r="V67" s="107">
        <f>_xlfn.IFERROR(IF(Simulador!$U$29=1,0,IF($B67&lt;=0,0,IF(Simulador!$D$22&gt;0,Simulador!$D$22,Simulador!$O$24)*Simulador!$AA$43)),0)</f>
        <v>0</v>
      </c>
      <c r="W67" s="107"/>
      <c r="X67" s="107"/>
      <c r="Y67" s="107">
        <f t="shared" si="2"/>
        <v>0</v>
      </c>
      <c r="Z67" s="14"/>
      <c r="AA67" s="19"/>
      <c r="AB67" s="24"/>
      <c r="AC67" s="303">
        <v>4</v>
      </c>
      <c r="AD67" s="295">
        <v>5</v>
      </c>
      <c r="AE67" s="400">
        <f t="shared" si="8"/>
        <v>0</v>
      </c>
      <c r="AF67" s="279">
        <f t="shared" si="9"/>
        <v>0</v>
      </c>
      <c r="AG67" s="279">
        <f t="shared" si="10"/>
        <v>0</v>
      </c>
      <c r="AH67" s="418">
        <f t="shared" si="11"/>
        <v>0</v>
      </c>
      <c r="AI67" s="296">
        <f>IF(Simulador!$T$67=1,'Tabla de amortizacion'!AJ67,'Tabla de amortizacion'!AR67)</f>
        <v>0.095</v>
      </c>
      <c r="AJ67" s="297">
        <f t="shared" si="43"/>
        <v>0.095</v>
      </c>
      <c r="AK67" s="298">
        <f t="shared" si="12"/>
        <v>0</v>
      </c>
      <c r="AL67" s="297">
        <f t="shared" si="44"/>
        <v>0.092</v>
      </c>
      <c r="AM67" s="297">
        <f t="shared" si="40"/>
        <v>0.092</v>
      </c>
      <c r="AN67" s="520">
        <f t="shared" si="41"/>
        <v>0.092</v>
      </c>
      <c r="AO67" s="520">
        <f t="shared" si="42"/>
        <v>0.092</v>
      </c>
      <c r="AP67" s="299">
        <v>0</v>
      </c>
      <c r="AQ67" s="414">
        <f t="shared" si="16"/>
        <v>0</v>
      </c>
      <c r="AR67" s="300">
        <f>IF(AND(Simulador!$T$67=2,Simulador!$T$61=1),AL67,IF(AND(Simulador!$T$67=2,Simulador!$T$61=2),AM67,IF(AND(Simulador!$T$67=2,Simulador!$T$61=3),AN67,AO67)))</f>
        <v>0.092</v>
      </c>
      <c r="AS67" s="281"/>
      <c r="AT67" s="70">
        <f t="shared" si="30"/>
        <v>0</v>
      </c>
      <c r="AU67" s="70">
        <f t="shared" si="18"/>
        <v>0</v>
      </c>
      <c r="AV67" s="71">
        <f t="shared" si="3"/>
        <v>0</v>
      </c>
      <c r="AW67" s="70">
        <f t="shared" si="4"/>
        <v>0</v>
      </c>
      <c r="AX67" s="70">
        <f t="shared" si="19"/>
        <v>0</v>
      </c>
      <c r="AY67" s="72">
        <f t="shared" si="5"/>
      </c>
      <c r="AZ67" s="70">
        <f>_xlfn.IFERROR(IF(Simulador!$U$29=1,0,IF($AT67&lt;=0.01,0,$AT67*Simulador!$AA$42)),0)+_xlfn.IFERROR(IF(Simulador!$U$29=1,0,IF($AT67&lt;=0.01,0,IF(Simulador!$D$22&gt;0,Simulador!$D$22,Simulador!$O$24)*Simulador!$AA$43)),0)</f>
        <v>0</v>
      </c>
      <c r="BA67" s="73"/>
      <c r="BB67" s="70">
        <f t="shared" si="6"/>
        <v>0</v>
      </c>
      <c r="BC67">
        <f t="shared" si="20"/>
        <v>0</v>
      </c>
      <c r="BD67" s="431">
        <f t="shared" si="21"/>
      </c>
      <c r="BE67" s="432">
        <f t="shared" si="25"/>
        <v>0</v>
      </c>
      <c r="BF67" s="69">
        <v>53</v>
      </c>
      <c r="BG67" s="38"/>
      <c r="BJ67" s="69"/>
      <c r="BM67" s="432"/>
    </row>
    <row r="68" spans="1:65" ht="12">
      <c r="A68" s="531">
        <v>54</v>
      </c>
      <c r="B68" s="106">
        <f t="shared" si="22"/>
        <v>0</v>
      </c>
      <c r="C68" s="106"/>
      <c r="D68" s="107">
        <f>IF(B68+F68-D67&lt;=0,B68+F68,IF(AND(OR(Simulador!$U$38=2,Simulador!$U$38=7),J67=0),D67*(1+AA68),IF($AE$3=2,B68*AQ68,D67*(1+AA68))))</f>
        <v>0</v>
      </c>
      <c r="E68" s="107"/>
      <c r="F68" s="107">
        <f t="shared" si="0"/>
        <v>0</v>
      </c>
      <c r="G68" s="107"/>
      <c r="H68" s="107">
        <f t="shared" si="23"/>
        <v>0</v>
      </c>
      <c r="I68" s="108"/>
      <c r="J68" s="109"/>
      <c r="K68" s="108"/>
      <c r="L68" s="107">
        <f>IF(Simulador!$T$40=1,0,J68*Simulador!$W$38*1.16)</f>
        <v>0</v>
      </c>
      <c r="M68" s="107"/>
      <c r="N68" s="110">
        <f>IF(B68-H68=0,0,N66)</f>
        <v>0</v>
      </c>
      <c r="O68" s="13"/>
      <c r="P68" s="664">
        <f t="shared" si="1"/>
      </c>
      <c r="Q68" s="3"/>
      <c r="R68" s="107">
        <f t="shared" si="7"/>
        <v>0</v>
      </c>
      <c r="S68" s="107"/>
      <c r="T68" s="107">
        <f>_xlfn.IFERROR(IF(Simulador!$U$29=1,0,IF($B68&lt;=0,0,$B68*Simulador!$AA$42)),0)</f>
        <v>0</v>
      </c>
      <c r="U68" s="107"/>
      <c r="V68" s="107">
        <f>_xlfn.IFERROR(IF(Simulador!$U$29=1,0,IF($B68&lt;=0,0,IF(Simulador!$D$22&gt;0,Simulador!$D$22,Simulador!$O$24)*Simulador!$AA$43)),0)</f>
        <v>0</v>
      </c>
      <c r="W68" s="107"/>
      <c r="X68" s="107"/>
      <c r="Y68" s="107">
        <f t="shared" si="2"/>
        <v>0</v>
      </c>
      <c r="Z68" s="14"/>
      <c r="AA68" s="19"/>
      <c r="AB68" s="24"/>
      <c r="AC68" s="303">
        <v>4</v>
      </c>
      <c r="AD68" s="295">
        <v>6</v>
      </c>
      <c r="AE68" s="400">
        <f t="shared" si="8"/>
        <v>0</v>
      </c>
      <c r="AF68" s="279">
        <f t="shared" si="9"/>
        <v>0</v>
      </c>
      <c r="AG68" s="279">
        <f t="shared" si="10"/>
        <v>0</v>
      </c>
      <c r="AH68" s="418">
        <f t="shared" si="11"/>
        <v>0</v>
      </c>
      <c r="AI68" s="296">
        <f>IF(Simulador!$T$67=1,'Tabla de amortizacion'!AJ68,'Tabla de amortizacion'!AR68)</f>
        <v>0.095</v>
      </c>
      <c r="AJ68" s="297">
        <f t="shared" si="43"/>
        <v>0.095</v>
      </c>
      <c r="AK68" s="298">
        <f t="shared" si="12"/>
        <v>0</v>
      </c>
      <c r="AL68" s="297">
        <f t="shared" si="44"/>
        <v>0.092</v>
      </c>
      <c r="AM68" s="297">
        <f t="shared" si="40"/>
        <v>0.092</v>
      </c>
      <c r="AN68" s="520">
        <f t="shared" si="41"/>
        <v>0.092</v>
      </c>
      <c r="AO68" s="520">
        <f t="shared" si="42"/>
        <v>0.092</v>
      </c>
      <c r="AP68" s="299">
        <v>0</v>
      </c>
      <c r="AQ68" s="414">
        <f t="shared" si="16"/>
        <v>0</v>
      </c>
      <c r="AR68" s="300">
        <f>IF(AND(Simulador!$T$67=2,Simulador!$T$61=1),AL68,IF(AND(Simulador!$T$67=2,Simulador!$T$61=2),AM68,IF(AND(Simulador!$T$67=2,Simulador!$T$61=3),AN68,AO68)))</f>
        <v>0.092</v>
      </c>
      <c r="AS68" s="281"/>
      <c r="AT68" s="70">
        <f t="shared" si="30"/>
        <v>0</v>
      </c>
      <c r="AU68" s="70">
        <f t="shared" si="18"/>
        <v>0</v>
      </c>
      <c r="AV68" s="71">
        <f t="shared" si="3"/>
        <v>0</v>
      </c>
      <c r="AW68" s="70">
        <f t="shared" si="4"/>
        <v>0</v>
      </c>
      <c r="AX68" s="70">
        <f t="shared" si="19"/>
        <v>0</v>
      </c>
      <c r="AY68" s="72">
        <f t="shared" si="5"/>
      </c>
      <c r="AZ68" s="70">
        <f>_xlfn.IFERROR(IF(Simulador!$U$29=1,0,IF($AT68&lt;=0.01,0,$AT68*Simulador!$AA$42)),0)+_xlfn.IFERROR(IF(Simulador!$U$29=1,0,IF($AT68&lt;=0.01,0,IF(Simulador!$D$22&gt;0,Simulador!$D$22,Simulador!$O$24)*Simulador!$AA$43)),0)</f>
        <v>0</v>
      </c>
      <c r="BA68" s="73"/>
      <c r="BB68" s="70">
        <f t="shared" si="6"/>
        <v>0</v>
      </c>
      <c r="BC68">
        <f t="shared" si="20"/>
        <v>0</v>
      </c>
      <c r="BD68" s="431">
        <f t="shared" si="21"/>
      </c>
      <c r="BE68" s="432">
        <f t="shared" si="25"/>
        <v>0</v>
      </c>
      <c r="BF68" s="69">
        <v>54</v>
      </c>
      <c r="BG68" s="38"/>
      <c r="BJ68" s="69"/>
      <c r="BM68" s="432"/>
    </row>
    <row r="69" spans="1:65" ht="12">
      <c r="A69" s="531">
        <v>55</v>
      </c>
      <c r="B69" s="106">
        <f t="shared" si="22"/>
        <v>0</v>
      </c>
      <c r="C69" s="106"/>
      <c r="D69" s="107">
        <f>IF(B69+F69-D68&lt;=0,B69+F69,IF(AND(OR(Simulador!$U$38=2,Simulador!$U$38=7),J68=0),D68*(1+AA69),IF($AE$3=2,B69*AQ69,D68*(1+AA69))))</f>
        <v>0</v>
      </c>
      <c r="E69" s="107"/>
      <c r="F69" s="107">
        <f t="shared" si="0"/>
        <v>0</v>
      </c>
      <c r="G69" s="107"/>
      <c r="H69" s="107">
        <f t="shared" si="23"/>
        <v>0</v>
      </c>
      <c r="I69" s="108"/>
      <c r="J69" s="109"/>
      <c r="K69" s="108"/>
      <c r="L69" s="107">
        <f>IF(Simulador!$T$40=1,0,J69*Simulador!$W$38*1.16)</f>
        <v>0</v>
      </c>
      <c r="M69" s="107"/>
      <c r="N69" s="111"/>
      <c r="O69" s="13"/>
      <c r="P69" s="664">
        <f t="shared" si="1"/>
      </c>
      <c r="Q69" s="3"/>
      <c r="R69" s="107">
        <f t="shared" si="7"/>
        <v>0</v>
      </c>
      <c r="S69" s="107"/>
      <c r="T69" s="107">
        <f>_xlfn.IFERROR(IF(Simulador!$U$29=1,0,IF($B69&lt;=0,0,$B69*Simulador!$AA$42)),0)</f>
        <v>0</v>
      </c>
      <c r="U69" s="107"/>
      <c r="V69" s="107">
        <f>_xlfn.IFERROR(IF(Simulador!$U$29=1,0,IF($B69&lt;=0,0,IF(Simulador!$D$22&gt;0,Simulador!$D$22,Simulador!$O$24)*Simulador!$AA$43)),0)</f>
        <v>0</v>
      </c>
      <c r="W69" s="107"/>
      <c r="X69" s="107"/>
      <c r="Y69" s="107">
        <f t="shared" si="2"/>
        <v>0</v>
      </c>
      <c r="Z69" s="14"/>
      <c r="AA69" s="19"/>
      <c r="AB69" s="24"/>
      <c r="AC69" s="303">
        <v>4</v>
      </c>
      <c r="AD69" s="295">
        <v>7</v>
      </c>
      <c r="AE69" s="400">
        <f t="shared" si="8"/>
        <v>0</v>
      </c>
      <c r="AF69" s="279">
        <f t="shared" si="9"/>
        <v>0</v>
      </c>
      <c r="AG69" s="279">
        <f t="shared" si="10"/>
        <v>0</v>
      </c>
      <c r="AH69" s="418">
        <f t="shared" si="11"/>
        <v>0</v>
      </c>
      <c r="AI69" s="296">
        <f>IF(Simulador!$T$67=1,'Tabla de amortizacion'!AJ69,'Tabla de amortizacion'!AR69)</f>
        <v>0.095</v>
      </c>
      <c r="AJ69" s="297">
        <f t="shared" si="43"/>
        <v>0.095</v>
      </c>
      <c r="AK69" s="298">
        <f t="shared" si="12"/>
        <v>0</v>
      </c>
      <c r="AL69" s="297">
        <f t="shared" si="44"/>
        <v>0.092</v>
      </c>
      <c r="AM69" s="297">
        <f t="shared" si="40"/>
        <v>0.092</v>
      </c>
      <c r="AN69" s="520">
        <f t="shared" si="41"/>
        <v>0.092</v>
      </c>
      <c r="AO69" s="520">
        <f t="shared" si="42"/>
        <v>0.092</v>
      </c>
      <c r="AP69" s="299">
        <v>0</v>
      </c>
      <c r="AQ69" s="414">
        <f t="shared" si="16"/>
        <v>0</v>
      </c>
      <c r="AR69" s="300">
        <f>IF(AND(Simulador!$T$67=2,Simulador!$T$61=1),AL69,IF(AND(Simulador!$T$67=2,Simulador!$T$61=2),AM69,IF(AND(Simulador!$T$67=2,Simulador!$T$61=3),AN69,AO69)))</f>
        <v>0.092</v>
      </c>
      <c r="AS69" s="281"/>
      <c r="AT69" s="70">
        <f t="shared" si="30"/>
        <v>0</v>
      </c>
      <c r="AU69" s="70">
        <f t="shared" si="18"/>
        <v>0</v>
      </c>
      <c r="AV69" s="71">
        <f t="shared" si="3"/>
        <v>0</v>
      </c>
      <c r="AW69" s="70">
        <f t="shared" si="4"/>
        <v>0</v>
      </c>
      <c r="AX69" s="70">
        <f t="shared" si="19"/>
        <v>0</v>
      </c>
      <c r="AY69" s="72">
        <f t="shared" si="5"/>
      </c>
      <c r="AZ69" s="70">
        <f>_xlfn.IFERROR(IF(Simulador!$U$29=1,0,IF($AT69&lt;=0.01,0,$AT69*Simulador!$AA$42)),0)+_xlfn.IFERROR(IF(Simulador!$U$29=1,0,IF($AT69&lt;=0.01,0,IF(Simulador!$D$22&gt;0,Simulador!$D$22,Simulador!$O$24)*Simulador!$AA$43)),0)</f>
        <v>0</v>
      </c>
      <c r="BA69" s="73"/>
      <c r="BB69" s="70">
        <f t="shared" si="6"/>
        <v>0</v>
      </c>
      <c r="BC69">
        <f t="shared" si="20"/>
        <v>0</v>
      </c>
      <c r="BD69" s="431">
        <f t="shared" si="21"/>
      </c>
      <c r="BE69" s="432">
        <f t="shared" si="25"/>
        <v>0</v>
      </c>
      <c r="BF69" s="69">
        <v>55</v>
      </c>
      <c r="BG69" s="38"/>
      <c r="BJ69" s="69"/>
      <c r="BM69" s="432"/>
    </row>
    <row r="70" spans="1:65" ht="12">
      <c r="A70" s="531">
        <v>56</v>
      </c>
      <c r="B70" s="106">
        <f t="shared" si="22"/>
        <v>0</v>
      </c>
      <c r="C70" s="106"/>
      <c r="D70" s="107">
        <f>IF(B70+F70-D69&lt;=0,B70+F70,IF(AND(OR(Simulador!$U$38=2,Simulador!$U$38=7),J69=0),D69*(1+AA70),IF($AE$3=2,B70*AQ70,D69*(1+AA70))))</f>
        <v>0</v>
      </c>
      <c r="E70" s="107"/>
      <c r="F70" s="107">
        <f t="shared" si="0"/>
        <v>0</v>
      </c>
      <c r="G70" s="107"/>
      <c r="H70" s="107">
        <f t="shared" si="23"/>
        <v>0</v>
      </c>
      <c r="I70" s="108"/>
      <c r="J70" s="109"/>
      <c r="K70" s="108"/>
      <c r="L70" s="107">
        <f>IF(Simulador!$T$40=1,0,J70*Simulador!$W$38*1.16)</f>
        <v>0</v>
      </c>
      <c r="M70" s="107"/>
      <c r="N70" s="110">
        <f>IF(B70-H70=0,0,N68)</f>
        <v>0</v>
      </c>
      <c r="O70" s="13"/>
      <c r="P70" s="664">
        <f t="shared" si="1"/>
      </c>
      <c r="Q70" s="3"/>
      <c r="R70" s="107">
        <f t="shared" si="7"/>
        <v>0</v>
      </c>
      <c r="S70" s="107"/>
      <c r="T70" s="107">
        <f>_xlfn.IFERROR(IF(Simulador!$U$29=1,0,IF($B70&lt;=0,0,$B70*Simulador!$AA$42)),0)</f>
        <v>0</v>
      </c>
      <c r="U70" s="107"/>
      <c r="V70" s="107">
        <f>_xlfn.IFERROR(IF(Simulador!$U$29=1,0,IF($B70&lt;=0,0,IF(Simulador!$D$22&gt;0,Simulador!$D$22,Simulador!$O$24)*Simulador!$AA$43)),0)</f>
        <v>0</v>
      </c>
      <c r="W70" s="107"/>
      <c r="X70" s="107"/>
      <c r="Y70" s="107">
        <f t="shared" si="2"/>
        <v>0</v>
      </c>
      <c r="Z70" s="14"/>
      <c r="AA70" s="19"/>
      <c r="AB70" s="24"/>
      <c r="AC70" s="303">
        <v>4</v>
      </c>
      <c r="AD70" s="295">
        <v>8</v>
      </c>
      <c r="AE70" s="400">
        <f t="shared" si="8"/>
        <v>0</v>
      </c>
      <c r="AF70" s="279">
        <f t="shared" si="9"/>
        <v>0</v>
      </c>
      <c r="AG70" s="279">
        <f t="shared" si="10"/>
        <v>0</v>
      </c>
      <c r="AH70" s="418">
        <f t="shared" si="11"/>
        <v>0</v>
      </c>
      <c r="AI70" s="296">
        <f>IF(Simulador!$T$67=1,'Tabla de amortizacion'!AJ70,'Tabla de amortizacion'!AR70)</f>
        <v>0.095</v>
      </c>
      <c r="AJ70" s="297">
        <f t="shared" si="43"/>
        <v>0.095</v>
      </c>
      <c r="AK70" s="298">
        <f t="shared" si="12"/>
        <v>0</v>
      </c>
      <c r="AL70" s="297">
        <f t="shared" si="44"/>
        <v>0.092</v>
      </c>
      <c r="AM70" s="297">
        <f t="shared" si="40"/>
        <v>0.092</v>
      </c>
      <c r="AN70" s="520">
        <f t="shared" si="41"/>
        <v>0.092</v>
      </c>
      <c r="AO70" s="520">
        <f t="shared" si="42"/>
        <v>0.092</v>
      </c>
      <c r="AP70" s="299">
        <v>0</v>
      </c>
      <c r="AQ70" s="414">
        <f t="shared" si="16"/>
        <v>0</v>
      </c>
      <c r="AR70" s="300">
        <f>IF(AND(Simulador!$T$67=2,Simulador!$T$61=1),AL70,IF(AND(Simulador!$T$67=2,Simulador!$T$61=2),AM70,IF(AND(Simulador!$T$67=2,Simulador!$T$61=3),AN70,AO70)))</f>
        <v>0.092</v>
      </c>
      <c r="AS70" s="281"/>
      <c r="AT70" s="70">
        <f t="shared" si="30"/>
        <v>0</v>
      </c>
      <c r="AU70" s="70">
        <f t="shared" si="18"/>
        <v>0</v>
      </c>
      <c r="AV70" s="71">
        <f t="shared" si="3"/>
        <v>0</v>
      </c>
      <c r="AW70" s="70">
        <f t="shared" si="4"/>
        <v>0</v>
      </c>
      <c r="AX70" s="70">
        <f t="shared" si="19"/>
        <v>0</v>
      </c>
      <c r="AY70" s="72">
        <f t="shared" si="5"/>
      </c>
      <c r="AZ70" s="70">
        <f>_xlfn.IFERROR(IF(Simulador!$U$29=1,0,IF($AT70&lt;=0.01,0,$AT70*Simulador!$AA$42)),0)+_xlfn.IFERROR(IF(Simulador!$U$29=1,0,IF($AT70&lt;=0.01,0,IF(Simulador!$D$22&gt;0,Simulador!$D$22,Simulador!$O$24)*Simulador!$AA$43)),0)</f>
        <v>0</v>
      </c>
      <c r="BA70" s="73"/>
      <c r="BB70" s="70">
        <f t="shared" si="6"/>
        <v>0</v>
      </c>
      <c r="BC70">
        <f t="shared" si="20"/>
        <v>0</v>
      </c>
      <c r="BD70" s="431">
        <f t="shared" si="21"/>
      </c>
      <c r="BE70" s="432">
        <f t="shared" si="25"/>
        <v>0</v>
      </c>
      <c r="BF70" s="69">
        <v>56</v>
      </c>
      <c r="BG70" s="38"/>
      <c r="BJ70" s="69"/>
      <c r="BM70" s="432"/>
    </row>
    <row r="71" spans="1:65" ht="12">
      <c r="A71" s="531">
        <v>57</v>
      </c>
      <c r="B71" s="106">
        <f t="shared" si="22"/>
        <v>0</v>
      </c>
      <c r="C71" s="106"/>
      <c r="D71" s="107">
        <f>IF(B71+F71-D70&lt;=0,B71+F71,IF(AND(OR(Simulador!$U$38=2,Simulador!$U$38=7),J70=0),D70*(1+AA71),IF($AE$3=2,B71*AQ71,D70*(1+AA71))))</f>
        <v>0</v>
      </c>
      <c r="E71" s="107"/>
      <c r="F71" s="107">
        <f t="shared" si="0"/>
        <v>0</v>
      </c>
      <c r="G71" s="107"/>
      <c r="H71" s="107">
        <f t="shared" si="23"/>
        <v>0</v>
      </c>
      <c r="I71" s="108"/>
      <c r="J71" s="109"/>
      <c r="K71" s="108"/>
      <c r="L71" s="107">
        <f>IF(Simulador!$T$40=1,0,J71*Simulador!$W$38*1.16)</f>
        <v>0</v>
      </c>
      <c r="M71" s="107"/>
      <c r="N71" s="111"/>
      <c r="O71" s="13"/>
      <c r="P71" s="664">
        <f t="shared" si="1"/>
      </c>
      <c r="Q71" s="3"/>
      <c r="R71" s="107">
        <f t="shared" si="7"/>
        <v>0</v>
      </c>
      <c r="S71" s="107"/>
      <c r="T71" s="107">
        <f>_xlfn.IFERROR(IF(Simulador!$U$29=1,0,IF($B71&lt;=0,0,$B71*Simulador!$AA$42)),0)</f>
        <v>0</v>
      </c>
      <c r="U71" s="107"/>
      <c r="V71" s="107">
        <f>_xlfn.IFERROR(IF(Simulador!$U$29=1,0,IF($B71&lt;=0,0,IF(Simulador!$D$22&gt;0,Simulador!$D$22,Simulador!$O$24)*Simulador!$AA$43)),0)</f>
        <v>0</v>
      </c>
      <c r="W71" s="107"/>
      <c r="X71" s="107"/>
      <c r="Y71" s="107">
        <f t="shared" si="2"/>
        <v>0</v>
      </c>
      <c r="Z71" s="14"/>
      <c r="AA71" s="19"/>
      <c r="AB71" s="24"/>
      <c r="AC71" s="303">
        <v>4</v>
      </c>
      <c r="AD71" s="302">
        <v>9</v>
      </c>
      <c r="AE71" s="400">
        <f t="shared" si="8"/>
        <v>0</v>
      </c>
      <c r="AF71" s="279">
        <f t="shared" si="9"/>
        <v>0</v>
      </c>
      <c r="AG71" s="279">
        <f t="shared" si="10"/>
        <v>0</v>
      </c>
      <c r="AH71" s="418">
        <f t="shared" si="11"/>
        <v>0</v>
      </c>
      <c r="AI71" s="296">
        <f>IF(Simulador!$T$67=1,'Tabla de amortizacion'!AJ71,'Tabla de amortizacion'!AR71)</f>
        <v>0.095</v>
      </c>
      <c r="AJ71" s="297">
        <f t="shared" si="43"/>
        <v>0.095</v>
      </c>
      <c r="AK71" s="298">
        <f t="shared" si="12"/>
        <v>0</v>
      </c>
      <c r="AL71" s="297">
        <f t="shared" si="44"/>
        <v>0.092</v>
      </c>
      <c r="AM71" s="297">
        <f t="shared" si="40"/>
        <v>0.092</v>
      </c>
      <c r="AN71" s="520">
        <f t="shared" si="41"/>
        <v>0.092</v>
      </c>
      <c r="AO71" s="520">
        <f t="shared" si="42"/>
        <v>0.092</v>
      </c>
      <c r="AP71" s="299">
        <v>0</v>
      </c>
      <c r="AQ71" s="414">
        <f t="shared" si="16"/>
        <v>0</v>
      </c>
      <c r="AR71" s="300">
        <f>IF(AND(Simulador!$T$67=2,Simulador!$T$61=1),AL71,IF(AND(Simulador!$T$67=2,Simulador!$T$61=2),AM71,IF(AND(Simulador!$T$67=2,Simulador!$T$61=3),AN71,AO71)))</f>
        <v>0.092</v>
      </c>
      <c r="AS71" s="281"/>
      <c r="AT71" s="70">
        <f t="shared" si="30"/>
        <v>0</v>
      </c>
      <c r="AU71" s="70">
        <f t="shared" si="18"/>
        <v>0</v>
      </c>
      <c r="AV71" s="71">
        <f t="shared" si="3"/>
        <v>0</v>
      </c>
      <c r="AW71" s="70">
        <f t="shared" si="4"/>
        <v>0</v>
      </c>
      <c r="AX71" s="70">
        <f t="shared" si="19"/>
        <v>0</v>
      </c>
      <c r="AY71" s="72">
        <f t="shared" si="5"/>
      </c>
      <c r="AZ71" s="70">
        <f>_xlfn.IFERROR(IF(Simulador!$U$29=1,0,IF($AT71&lt;=0.01,0,$AT71*Simulador!$AA$42)),0)+_xlfn.IFERROR(IF(Simulador!$U$29=1,0,IF($AT71&lt;=0.01,0,IF(Simulador!$D$22&gt;0,Simulador!$D$22,Simulador!$O$24)*Simulador!$AA$43)),0)</f>
        <v>0</v>
      </c>
      <c r="BA71" s="73"/>
      <c r="BB71" s="70">
        <f t="shared" si="6"/>
        <v>0</v>
      </c>
      <c r="BC71">
        <f t="shared" si="20"/>
        <v>0</v>
      </c>
      <c r="BD71" s="431">
        <f t="shared" si="21"/>
      </c>
      <c r="BE71" s="432">
        <f t="shared" si="25"/>
        <v>0</v>
      </c>
      <c r="BF71" s="69">
        <v>57</v>
      </c>
      <c r="BG71" s="38"/>
      <c r="BJ71" s="69"/>
      <c r="BM71" s="432"/>
    </row>
    <row r="72" spans="1:65" ht="12">
      <c r="A72" s="531">
        <v>58</v>
      </c>
      <c r="B72" s="106">
        <f t="shared" si="22"/>
        <v>0</v>
      </c>
      <c r="C72" s="106"/>
      <c r="D72" s="107">
        <f>IF(B72+F72-D71&lt;=0,B72+F72,IF(AND(OR(Simulador!$U$38=2,Simulador!$U$38=7),J71=0),D71*(1+AA72),IF($AE$3=2,B72*AQ72,D71*(1+AA72))))</f>
        <v>0</v>
      </c>
      <c r="E72" s="107"/>
      <c r="F72" s="107">
        <f t="shared" si="0"/>
        <v>0</v>
      </c>
      <c r="G72" s="107"/>
      <c r="H72" s="107">
        <f t="shared" si="23"/>
        <v>0</v>
      </c>
      <c r="I72" s="108"/>
      <c r="J72" s="109"/>
      <c r="K72" s="108"/>
      <c r="L72" s="107">
        <f>IF(Simulador!$T$40=1,0,J72*Simulador!$W$38*1.16)</f>
        <v>0</v>
      </c>
      <c r="M72" s="107"/>
      <c r="N72" s="110">
        <f>IF(B72-H72=0,0,N70)</f>
        <v>0</v>
      </c>
      <c r="O72" s="13"/>
      <c r="P72" s="664">
        <f t="shared" si="1"/>
      </c>
      <c r="Q72" s="3"/>
      <c r="R72" s="107">
        <f t="shared" si="7"/>
        <v>0</v>
      </c>
      <c r="S72" s="107"/>
      <c r="T72" s="107">
        <f>_xlfn.IFERROR(IF(Simulador!$U$29=1,0,IF($B72&lt;=0,0,$B72*Simulador!$AA$42)),0)</f>
        <v>0</v>
      </c>
      <c r="U72" s="107"/>
      <c r="V72" s="107">
        <f>_xlfn.IFERROR(IF(Simulador!$U$29=1,0,IF($B72&lt;=0,0,IF(Simulador!$D$22&gt;0,Simulador!$D$22,Simulador!$O$24)*Simulador!$AA$43)),0)</f>
        <v>0</v>
      </c>
      <c r="W72" s="107"/>
      <c r="X72" s="107"/>
      <c r="Y72" s="107">
        <f t="shared" si="2"/>
        <v>0</v>
      </c>
      <c r="Z72" s="14"/>
      <c r="AA72" s="19"/>
      <c r="AB72" s="24"/>
      <c r="AC72" s="303">
        <v>4</v>
      </c>
      <c r="AD72" s="302">
        <v>10</v>
      </c>
      <c r="AE72" s="400">
        <f t="shared" si="8"/>
        <v>0</v>
      </c>
      <c r="AF72" s="279">
        <f t="shared" si="9"/>
        <v>0</v>
      </c>
      <c r="AG72" s="279">
        <f t="shared" si="10"/>
        <v>0</v>
      </c>
      <c r="AH72" s="418">
        <f t="shared" si="11"/>
        <v>0</v>
      </c>
      <c r="AI72" s="296">
        <f>IF(Simulador!$T$67=1,'Tabla de amortizacion'!AJ72,'Tabla de amortizacion'!AR72)</f>
        <v>0.095</v>
      </c>
      <c r="AJ72" s="297">
        <f t="shared" si="43"/>
        <v>0.095</v>
      </c>
      <c r="AK72" s="298">
        <f t="shared" si="12"/>
        <v>0</v>
      </c>
      <c r="AL72" s="297">
        <f t="shared" si="44"/>
        <v>0.092</v>
      </c>
      <c r="AM72" s="297">
        <f t="shared" si="40"/>
        <v>0.092</v>
      </c>
      <c r="AN72" s="520">
        <f t="shared" si="41"/>
        <v>0.092</v>
      </c>
      <c r="AO72" s="520">
        <f t="shared" si="42"/>
        <v>0.092</v>
      </c>
      <c r="AP72" s="299">
        <v>0</v>
      </c>
      <c r="AQ72" s="414">
        <f t="shared" si="16"/>
        <v>0</v>
      </c>
      <c r="AR72" s="300">
        <f>IF(AND(Simulador!$T$67=2,Simulador!$T$61=1),AL72,IF(AND(Simulador!$T$67=2,Simulador!$T$61=2),AM72,IF(AND(Simulador!$T$67=2,Simulador!$T$61=3),AN72,AO72)))</f>
        <v>0.092</v>
      </c>
      <c r="AS72" s="281"/>
      <c r="AT72" s="70">
        <f t="shared" si="30"/>
        <v>0</v>
      </c>
      <c r="AU72" s="70">
        <f t="shared" si="18"/>
        <v>0</v>
      </c>
      <c r="AV72" s="71">
        <f t="shared" si="3"/>
        <v>0</v>
      </c>
      <c r="AW72" s="70">
        <f t="shared" si="4"/>
        <v>0</v>
      </c>
      <c r="AX72" s="70">
        <f t="shared" si="19"/>
        <v>0</v>
      </c>
      <c r="AY72" s="72">
        <f t="shared" si="5"/>
      </c>
      <c r="AZ72" s="70">
        <f>_xlfn.IFERROR(IF(Simulador!$U$29=1,0,IF($AT72&lt;=0.01,0,$AT72*Simulador!$AA$42)),0)+_xlfn.IFERROR(IF(Simulador!$U$29=1,0,IF($AT72&lt;=0.01,0,IF(Simulador!$D$22&gt;0,Simulador!$D$22,Simulador!$O$24)*Simulador!$AA$43)),0)</f>
        <v>0</v>
      </c>
      <c r="BA72" s="73"/>
      <c r="BB72" s="70">
        <f t="shared" si="6"/>
        <v>0</v>
      </c>
      <c r="BC72">
        <f t="shared" si="20"/>
        <v>0</v>
      </c>
      <c r="BD72" s="431">
        <f t="shared" si="21"/>
      </c>
      <c r="BE72" s="432">
        <f t="shared" si="25"/>
        <v>0</v>
      </c>
      <c r="BF72" s="69">
        <v>58</v>
      </c>
      <c r="BG72" s="38"/>
      <c r="BJ72" s="69"/>
      <c r="BM72" s="432"/>
    </row>
    <row r="73" spans="1:65" ht="12">
      <c r="A73" s="531">
        <v>59</v>
      </c>
      <c r="B73" s="106">
        <f t="shared" si="22"/>
        <v>0</v>
      </c>
      <c r="C73" s="106"/>
      <c r="D73" s="107">
        <f>IF(B73+F73-D72&lt;=0,B73+F73,IF(AND(OR(Simulador!$U$38=2,Simulador!$U$38=7),J72=0),D72*(1+AA73),IF($AE$3=2,B73*AQ73,D72*(1+AA73))))</f>
        <v>0</v>
      </c>
      <c r="E73" s="107"/>
      <c r="F73" s="107">
        <f t="shared" si="0"/>
        <v>0</v>
      </c>
      <c r="G73" s="107"/>
      <c r="H73" s="107">
        <f t="shared" si="23"/>
        <v>0</v>
      </c>
      <c r="I73" s="108"/>
      <c r="J73" s="109"/>
      <c r="K73" s="108"/>
      <c r="L73" s="107">
        <f>IF(Simulador!$T$40=1,0,J73*Simulador!$W$38*1.16)</f>
        <v>0</v>
      </c>
      <c r="M73" s="107"/>
      <c r="N73" s="111"/>
      <c r="O73" s="13"/>
      <c r="P73" s="664">
        <f t="shared" si="1"/>
      </c>
      <c r="Q73" s="3"/>
      <c r="R73" s="107">
        <f t="shared" si="7"/>
        <v>0</v>
      </c>
      <c r="S73" s="107"/>
      <c r="T73" s="107">
        <f>_xlfn.IFERROR(IF(Simulador!$U$29=1,0,IF($B73&lt;=0,0,$B73*Simulador!$AA$42)),0)</f>
        <v>0</v>
      </c>
      <c r="U73" s="107"/>
      <c r="V73" s="107">
        <f>_xlfn.IFERROR(IF(Simulador!$U$29=1,0,IF($B73&lt;=0,0,IF(Simulador!$D$22&gt;0,Simulador!$D$22,Simulador!$O$24)*Simulador!$AA$43)),0)</f>
        <v>0</v>
      </c>
      <c r="W73" s="107"/>
      <c r="X73" s="107"/>
      <c r="Y73" s="107">
        <f t="shared" si="2"/>
        <v>0</v>
      </c>
      <c r="Z73" s="14"/>
      <c r="AA73" s="19"/>
      <c r="AB73" s="24"/>
      <c r="AC73" s="303">
        <v>4</v>
      </c>
      <c r="AD73" s="295">
        <v>11</v>
      </c>
      <c r="AE73" s="400">
        <f t="shared" si="8"/>
        <v>0</v>
      </c>
      <c r="AF73" s="279">
        <f t="shared" si="9"/>
        <v>0</v>
      </c>
      <c r="AG73" s="279">
        <f t="shared" si="10"/>
        <v>0</v>
      </c>
      <c r="AH73" s="418">
        <f t="shared" si="11"/>
        <v>0</v>
      </c>
      <c r="AI73" s="296">
        <f>IF(Simulador!$T$67=1,'Tabla de amortizacion'!AJ73,'Tabla de amortizacion'!AR73)</f>
        <v>0.095</v>
      </c>
      <c r="AJ73" s="297">
        <f t="shared" si="43"/>
        <v>0.095</v>
      </c>
      <c r="AK73" s="298">
        <f t="shared" si="12"/>
        <v>0</v>
      </c>
      <c r="AL73" s="297">
        <f t="shared" si="44"/>
        <v>0.092</v>
      </c>
      <c r="AM73" s="297">
        <f t="shared" si="40"/>
        <v>0.092</v>
      </c>
      <c r="AN73" s="520">
        <f t="shared" si="41"/>
        <v>0.092</v>
      </c>
      <c r="AO73" s="520">
        <f t="shared" si="42"/>
        <v>0.092</v>
      </c>
      <c r="AP73" s="299">
        <v>0</v>
      </c>
      <c r="AQ73" s="414">
        <f t="shared" si="16"/>
        <v>0</v>
      </c>
      <c r="AR73" s="300">
        <f>IF(AND(Simulador!$T$67=2,Simulador!$T$61=1),AL73,IF(AND(Simulador!$T$67=2,Simulador!$T$61=2),AM73,IF(AND(Simulador!$T$67=2,Simulador!$T$61=3),AN73,AO73)))</f>
        <v>0.092</v>
      </c>
      <c r="AS73" s="281"/>
      <c r="AT73" s="70">
        <f t="shared" si="30"/>
        <v>0</v>
      </c>
      <c r="AU73" s="70">
        <f t="shared" si="18"/>
        <v>0</v>
      </c>
      <c r="AV73" s="71">
        <f t="shared" si="3"/>
        <v>0</v>
      </c>
      <c r="AW73" s="70">
        <f t="shared" si="4"/>
        <v>0</v>
      </c>
      <c r="AX73" s="70">
        <f t="shared" si="19"/>
        <v>0</v>
      </c>
      <c r="AY73" s="72">
        <f t="shared" si="5"/>
      </c>
      <c r="AZ73" s="70">
        <f>_xlfn.IFERROR(IF(Simulador!$U$29=1,0,IF($AT73&lt;=0.01,0,$AT73*Simulador!$AA$42)),0)+_xlfn.IFERROR(IF(Simulador!$U$29=1,0,IF($AT73&lt;=0.01,0,IF(Simulador!$D$22&gt;0,Simulador!$D$22,Simulador!$O$24)*Simulador!$AA$43)),0)</f>
        <v>0</v>
      </c>
      <c r="BA73" s="73"/>
      <c r="BB73" s="70">
        <f t="shared" si="6"/>
        <v>0</v>
      </c>
      <c r="BC73">
        <f t="shared" si="20"/>
        <v>0</v>
      </c>
      <c r="BD73" s="431">
        <f t="shared" si="21"/>
      </c>
      <c r="BE73" s="432">
        <f t="shared" si="25"/>
        <v>0</v>
      </c>
      <c r="BF73" s="69">
        <v>59</v>
      </c>
      <c r="BG73" s="38"/>
      <c r="BJ73" s="69"/>
      <c r="BM73" s="432"/>
    </row>
    <row r="74" spans="1:65" ht="12">
      <c r="A74" s="531">
        <v>60</v>
      </c>
      <c r="B74" s="106">
        <f t="shared" si="22"/>
        <v>0</v>
      </c>
      <c r="C74" s="106"/>
      <c r="D74" s="107">
        <f>IF(B74+F74-D73&lt;=0,B74+F74,IF(AND(OR(Simulador!$U$38=2,Simulador!$U$38=7),J73=0),D73*(1+AA74),IF($AE$3=2,B74*AQ74,D73*(1+AA74))))</f>
        <v>0</v>
      </c>
      <c r="E74" s="107"/>
      <c r="F74" s="107">
        <f t="shared" si="0"/>
        <v>0</v>
      </c>
      <c r="G74" s="107"/>
      <c r="H74" s="107">
        <f t="shared" si="23"/>
        <v>0</v>
      </c>
      <c r="I74" s="108"/>
      <c r="J74" s="109"/>
      <c r="K74" s="108"/>
      <c r="L74" s="107">
        <f>IF(Simulador!$T$40=1,0,J74*Simulador!$W$38*1.16)</f>
        <v>0</v>
      </c>
      <c r="M74" s="107"/>
      <c r="N74" s="110">
        <f>IF(B74-H74=0,0,N72)</f>
        <v>0</v>
      </c>
      <c r="O74" s="13"/>
      <c r="P74" s="664">
        <f t="shared" si="1"/>
      </c>
      <c r="Q74" s="3"/>
      <c r="R74" s="107">
        <f t="shared" si="7"/>
        <v>0</v>
      </c>
      <c r="S74" s="107"/>
      <c r="T74" s="107">
        <f>_xlfn.IFERROR(IF(Simulador!$U$29=1,0,IF($B74&lt;=0,0,$B74*Simulador!$AA$42)),0)</f>
        <v>0</v>
      </c>
      <c r="U74" s="107"/>
      <c r="V74" s="107">
        <f>_xlfn.IFERROR(IF(Simulador!$U$29=1,0,IF($B74&lt;=0,0,IF(Simulador!$D$22&gt;0,Simulador!$D$22,Simulador!$O$24)*Simulador!$AA$43)),0)</f>
        <v>0</v>
      </c>
      <c r="W74" s="107"/>
      <c r="X74" s="107"/>
      <c r="Y74" s="107">
        <f t="shared" si="2"/>
        <v>0</v>
      </c>
      <c r="Z74" s="14"/>
      <c r="AA74" s="19"/>
      <c r="AB74" s="24"/>
      <c r="AC74" s="303">
        <v>5</v>
      </c>
      <c r="AD74" s="295">
        <v>0</v>
      </c>
      <c r="AE74" s="400">
        <f t="shared" si="8"/>
        <v>0</v>
      </c>
      <c r="AF74" s="279">
        <f t="shared" si="9"/>
        <v>0</v>
      </c>
      <c r="AG74" s="279">
        <f t="shared" si="10"/>
        <v>0</v>
      </c>
      <c r="AH74" s="418">
        <f t="shared" si="11"/>
        <v>0</v>
      </c>
      <c r="AI74" s="296">
        <f>IF(Simulador!$T$67=1,'Tabla de amortizacion'!AJ74,'Tabla de amortizacion'!AR74)</f>
        <v>0.095</v>
      </c>
      <c r="AJ74" s="297">
        <f t="shared" si="43"/>
        <v>0.095</v>
      </c>
      <c r="AK74" s="298">
        <f t="shared" si="12"/>
        <v>0</v>
      </c>
      <c r="AL74" s="297">
        <f aca="true" t="shared" si="45" ref="AL74:AL98">AL73</f>
        <v>0.092</v>
      </c>
      <c r="AM74" s="297">
        <f aca="true" t="shared" si="46" ref="AM74:AM134">AM73</f>
        <v>0.092</v>
      </c>
      <c r="AN74" s="520">
        <f aca="true" t="shared" si="47" ref="AN74:AN137">AN73</f>
        <v>0.092</v>
      </c>
      <c r="AO74" s="520">
        <f aca="true" t="shared" si="48" ref="AO74:AO137">AO73</f>
        <v>0.092</v>
      </c>
      <c r="AP74" s="299">
        <v>0</v>
      </c>
      <c r="AQ74" s="414">
        <f t="shared" si="16"/>
        <v>0</v>
      </c>
      <c r="AR74" s="300">
        <f>IF(AND(Simulador!$T$67=2,Simulador!$T$61=1),AL74,IF(AND(Simulador!$T$67=2,Simulador!$T$61=2),AM74,IF(AND(Simulador!$T$67=2,Simulador!$T$61=3),AN74,AO74)))</f>
        <v>0.092</v>
      </c>
      <c r="AS74" s="281"/>
      <c r="AT74" s="74">
        <f t="shared" si="30"/>
        <v>0</v>
      </c>
      <c r="AU74" s="70">
        <f t="shared" si="18"/>
        <v>0</v>
      </c>
      <c r="AV74" s="71">
        <f t="shared" si="3"/>
        <v>0</v>
      </c>
      <c r="AW74" s="74">
        <f t="shared" si="4"/>
        <v>0</v>
      </c>
      <c r="AX74" s="70">
        <f t="shared" si="19"/>
        <v>0</v>
      </c>
      <c r="AY74" s="72">
        <f t="shared" si="5"/>
      </c>
      <c r="AZ74" s="70">
        <f>_xlfn.IFERROR(IF(Simulador!$U$29=1,0,IF($AT74&lt;=0.01,0,$AT74*Simulador!$AA$42)),0)+_xlfn.IFERROR(IF(Simulador!$U$29=1,0,IF($AT74&lt;=0.01,0,IF(Simulador!$D$22&gt;0,Simulador!$D$22,Simulador!$O$24)*Simulador!$AA$43)),0)</f>
        <v>0</v>
      </c>
      <c r="BA74" s="75"/>
      <c r="BB74" s="70">
        <f t="shared" si="6"/>
        <v>0</v>
      </c>
      <c r="BC74">
        <f t="shared" si="20"/>
        <v>0</v>
      </c>
      <c r="BD74" s="431">
        <f t="shared" si="21"/>
      </c>
      <c r="BE74" s="432">
        <f t="shared" si="25"/>
        <v>0</v>
      </c>
      <c r="BF74" s="69">
        <v>60</v>
      </c>
      <c r="BG74" s="38"/>
      <c r="BJ74" s="69"/>
      <c r="BM74" s="432"/>
    </row>
    <row r="75" spans="1:65" ht="12.75">
      <c r="A75" s="531">
        <v>61</v>
      </c>
      <c r="B75" s="106">
        <f t="shared" si="22"/>
        <v>0</v>
      </c>
      <c r="C75" s="106"/>
      <c r="D75" s="107">
        <f>IF(B75+F75-D74&lt;=0,B75+F75,IF(AND(OR(Simulador!$U$38=2,Simulador!$U$38=7),J74=0),D74*(1+AA75),IF($AE$3=2,B75*AQ75,D74*(1+AA75))))</f>
        <v>0</v>
      </c>
      <c r="E75" s="107"/>
      <c r="F75" s="107">
        <f t="shared" si="0"/>
        <v>0</v>
      </c>
      <c r="G75" s="107"/>
      <c r="H75" s="107">
        <f t="shared" si="23"/>
        <v>0</v>
      </c>
      <c r="I75" s="108"/>
      <c r="J75" s="109"/>
      <c r="K75" s="108"/>
      <c r="L75" s="107">
        <f>IF(Simulador!$T$40=1,0,J75*Simulador!$W$38*1.16)</f>
        <v>0</v>
      </c>
      <c r="M75" s="107"/>
      <c r="N75" s="111"/>
      <c r="O75" s="13"/>
      <c r="P75" s="664">
        <f t="shared" si="1"/>
      </c>
      <c r="Q75" s="3"/>
      <c r="R75" s="107">
        <f t="shared" si="7"/>
        <v>0</v>
      </c>
      <c r="S75" s="107"/>
      <c r="T75" s="107">
        <f>_xlfn.IFERROR(IF(Simulador!$U$29=1,0,IF($B75&lt;=0,0,$B75*Simulador!$AA$42)),0)</f>
        <v>0</v>
      </c>
      <c r="U75" s="107"/>
      <c r="V75" s="107">
        <f>_xlfn.IFERROR(IF(Simulador!$U$29=1,0,IF($B75&lt;=0,0,IF(Simulador!$D$22&gt;0,Simulador!$D$22,Simulador!$O$24)*Simulador!$AA$43)),0)</f>
        <v>0</v>
      </c>
      <c r="W75" s="107"/>
      <c r="X75" s="107"/>
      <c r="Y75" s="107">
        <f t="shared" si="2"/>
        <v>0</v>
      </c>
      <c r="Z75" s="14"/>
      <c r="AA75" s="19">
        <f>IF(B75&lt;=0,0,Simulador!$I$42)</f>
        <v>0</v>
      </c>
      <c r="AB75" s="24"/>
      <c r="AC75" s="303">
        <v>5</v>
      </c>
      <c r="AD75" s="295">
        <v>1</v>
      </c>
      <c r="AE75" s="400">
        <f t="shared" si="8"/>
        <v>0</v>
      </c>
      <c r="AF75" s="279">
        <f t="shared" si="9"/>
        <v>0</v>
      </c>
      <c r="AG75" s="279">
        <f t="shared" si="10"/>
        <v>0</v>
      </c>
      <c r="AH75" s="418">
        <f t="shared" si="11"/>
        <v>0</v>
      </c>
      <c r="AI75" s="296">
        <f>IF(Simulador!$T$67=1,'Tabla de amortizacion'!AJ75,'Tabla de amortizacion'!AR75)</f>
        <v>0.0925</v>
      </c>
      <c r="AJ75" s="297">
        <f>IF(AJ74=$AM$4,AJ74,IF(AJ74-0.25%&lt;=$AM$4,$AM$4,AJ74-0.25%))</f>
        <v>0.0925</v>
      </c>
      <c r="AK75" s="298">
        <f t="shared" si="12"/>
        <v>0</v>
      </c>
      <c r="AL75" s="297">
        <f t="shared" si="45"/>
        <v>0.092</v>
      </c>
      <c r="AM75" s="297">
        <f t="shared" si="46"/>
        <v>0.092</v>
      </c>
      <c r="AN75" s="520">
        <f t="shared" si="47"/>
        <v>0.092</v>
      </c>
      <c r="AO75" s="520">
        <f t="shared" si="48"/>
        <v>0.092</v>
      </c>
      <c r="AP75" s="299">
        <v>0</v>
      </c>
      <c r="AQ75" s="414">
        <f t="shared" si="16"/>
        <v>0</v>
      </c>
      <c r="AR75" s="300">
        <f>IF(AND(Simulador!$T$67=2,Simulador!$T$61=1),AL75,IF(AND(Simulador!$T$67=2,Simulador!$T$61=2),AM75,IF(AND(Simulador!$T$67=2,Simulador!$T$61=3),AN75,AO75)))</f>
        <v>0.092</v>
      </c>
      <c r="AS75" s="281"/>
      <c r="AT75" s="74">
        <f t="shared" si="30"/>
        <v>0</v>
      </c>
      <c r="AU75" s="70">
        <f t="shared" si="18"/>
        <v>0</v>
      </c>
      <c r="AV75" s="71">
        <f t="shared" si="3"/>
        <v>0</v>
      </c>
      <c r="AW75" s="74">
        <f t="shared" si="4"/>
        <v>0</v>
      </c>
      <c r="AX75" s="70">
        <f t="shared" si="19"/>
        <v>0</v>
      </c>
      <c r="AY75" s="72">
        <f t="shared" si="5"/>
      </c>
      <c r="AZ75" s="70">
        <f>_xlfn.IFERROR(IF(Simulador!$U$29=1,0,IF($AT75&lt;=0.01,0,$AT75*Simulador!$AA$42)),0)+_xlfn.IFERROR(IF(Simulador!$U$29=1,0,IF($AT75&lt;=0.01,0,IF(Simulador!$D$22&gt;0,Simulador!$D$22,Simulador!$O$24)*Simulador!$AA$43)),0)</f>
        <v>0</v>
      </c>
      <c r="BA75" s="73">
        <f>IF(AT75&lt;=0,0,$BA$27)</f>
        <v>0</v>
      </c>
      <c r="BB75" s="70">
        <f t="shared" si="6"/>
        <v>0</v>
      </c>
      <c r="BC75" s="437">
        <f t="shared" si="20"/>
        <v>0</v>
      </c>
      <c r="BD75" s="431">
        <f t="shared" si="21"/>
      </c>
      <c r="BE75" s="432">
        <f t="shared" si="25"/>
        <v>0</v>
      </c>
      <c r="BF75" s="69">
        <v>61</v>
      </c>
      <c r="BG75" s="38"/>
      <c r="BJ75" s="69"/>
      <c r="BM75" s="432"/>
    </row>
    <row r="76" spans="1:65" ht="12">
      <c r="A76" s="531">
        <v>62</v>
      </c>
      <c r="B76" s="106">
        <f t="shared" si="22"/>
        <v>0</v>
      </c>
      <c r="C76" s="106"/>
      <c r="D76" s="107">
        <f>IF(B76+F76-D75&lt;=0,B76+F76,IF(AND(OR(Simulador!$U$38=2,Simulador!$U$38=7),J75=0),D75*(1+AA76),IF($AE$3=2,B76*AQ76,D75*(1+AA76))))</f>
        <v>0</v>
      </c>
      <c r="E76" s="107"/>
      <c r="F76" s="107">
        <f t="shared" si="0"/>
        <v>0</v>
      </c>
      <c r="G76" s="107"/>
      <c r="H76" s="107">
        <f t="shared" si="23"/>
        <v>0</v>
      </c>
      <c r="I76" s="108"/>
      <c r="J76" s="109"/>
      <c r="K76" s="108"/>
      <c r="L76" s="107">
        <f>IF(Simulador!$T$40=1,0,J76*Simulador!$W$38*1.16)</f>
        <v>0</v>
      </c>
      <c r="M76" s="107"/>
      <c r="N76" s="110">
        <f>IF(B76-H76=0,0,N74*(1+(Simulador!$AF$76)))</f>
        <v>0</v>
      </c>
      <c r="O76" s="13"/>
      <c r="P76" s="664">
        <f t="shared" si="1"/>
      </c>
      <c r="Q76" s="3"/>
      <c r="R76" s="107">
        <f t="shared" si="7"/>
        <v>0</v>
      </c>
      <c r="S76" s="107"/>
      <c r="T76" s="107">
        <f>_xlfn.IFERROR(IF(Simulador!$U$29=1,0,IF($B76&lt;=0,0,$B76*Simulador!$AA$42)),0)</f>
        <v>0</v>
      </c>
      <c r="U76" s="107"/>
      <c r="V76" s="107">
        <f>_xlfn.IFERROR(IF(Simulador!$U$29=1,0,IF($B76&lt;=0,0,IF(Simulador!$D$22&gt;0,Simulador!$D$22,Simulador!$O$24)*Simulador!$AA$43)),0)</f>
        <v>0</v>
      </c>
      <c r="W76" s="107"/>
      <c r="X76" s="107"/>
      <c r="Y76" s="107">
        <f t="shared" si="2"/>
        <v>0</v>
      </c>
      <c r="Z76" s="14"/>
      <c r="AA76" s="19"/>
      <c r="AB76" s="24"/>
      <c r="AC76" s="303">
        <v>5</v>
      </c>
      <c r="AD76" s="301">
        <v>2</v>
      </c>
      <c r="AE76" s="400">
        <f t="shared" si="8"/>
        <v>0</v>
      </c>
      <c r="AF76" s="279">
        <f t="shared" si="9"/>
        <v>0</v>
      </c>
      <c r="AG76" s="279">
        <f t="shared" si="10"/>
        <v>0</v>
      </c>
      <c r="AH76" s="418">
        <f t="shared" si="11"/>
        <v>0</v>
      </c>
      <c r="AI76" s="296">
        <f>IF(Simulador!$T$67=1,'Tabla de amortizacion'!AJ76,'Tabla de amortizacion'!AR76)</f>
        <v>0.0925</v>
      </c>
      <c r="AJ76" s="297">
        <f>AJ75</f>
        <v>0.0925</v>
      </c>
      <c r="AK76" s="298">
        <f t="shared" si="12"/>
        <v>0</v>
      </c>
      <c r="AL76" s="297">
        <f t="shared" si="45"/>
        <v>0.092</v>
      </c>
      <c r="AM76" s="297">
        <f t="shared" si="46"/>
        <v>0.092</v>
      </c>
      <c r="AN76" s="520">
        <f t="shared" si="47"/>
        <v>0.092</v>
      </c>
      <c r="AO76" s="520">
        <f t="shared" si="48"/>
        <v>0.092</v>
      </c>
      <c r="AP76" s="299">
        <v>0</v>
      </c>
      <c r="AQ76" s="414">
        <f t="shared" si="16"/>
        <v>0</v>
      </c>
      <c r="AR76" s="300">
        <f>IF(AND(Simulador!$T$67=2,Simulador!$T$61=1),AL76,IF(AND(Simulador!$T$67=2,Simulador!$T$61=2),AM76,IF(AND(Simulador!$T$67=2,Simulador!$T$61=3),AN76,AO76)))</f>
        <v>0.092</v>
      </c>
      <c r="AS76" s="281"/>
      <c r="AT76" s="70">
        <f t="shared" si="30"/>
        <v>0</v>
      </c>
      <c r="AU76" s="70">
        <f t="shared" si="18"/>
        <v>0</v>
      </c>
      <c r="AV76" s="71">
        <f t="shared" si="3"/>
        <v>0</v>
      </c>
      <c r="AW76" s="70">
        <f t="shared" si="4"/>
        <v>0</v>
      </c>
      <c r="AX76" s="70">
        <f t="shared" si="19"/>
        <v>0</v>
      </c>
      <c r="AY76" s="72">
        <f t="shared" si="5"/>
      </c>
      <c r="AZ76" s="70">
        <f>_xlfn.IFERROR(IF(Simulador!$U$29=1,0,IF($AT76&lt;=0.01,0,$AT76*Simulador!$AA$42)),0)+_xlfn.IFERROR(IF(Simulador!$U$29=1,0,IF($AT76&lt;=0.01,0,IF(Simulador!$D$22&gt;0,Simulador!$D$22,Simulador!$O$24)*Simulador!$AA$43)),0)</f>
        <v>0</v>
      </c>
      <c r="BA76" s="73"/>
      <c r="BB76" s="70">
        <f t="shared" si="6"/>
        <v>0</v>
      </c>
      <c r="BC76">
        <f t="shared" si="20"/>
        <v>0</v>
      </c>
      <c r="BD76" s="431">
        <f t="shared" si="21"/>
      </c>
      <c r="BE76" s="432">
        <f t="shared" si="25"/>
        <v>0</v>
      </c>
      <c r="BF76" s="69">
        <v>62</v>
      </c>
      <c r="BG76" s="38"/>
      <c r="BH76" s="438"/>
      <c r="BJ76" s="69"/>
      <c r="BM76" s="432"/>
    </row>
    <row r="77" spans="1:65" ht="12">
      <c r="A77" s="531">
        <v>63</v>
      </c>
      <c r="B77" s="106">
        <f t="shared" si="22"/>
        <v>0</v>
      </c>
      <c r="C77" s="106"/>
      <c r="D77" s="107">
        <f>IF(B77+F77-D76&lt;=0,B77+F77,IF(AND(OR(Simulador!$U$38=2,Simulador!$U$38=7),J76=0),D76*(1+AA77),IF($AE$3=2,B77*AQ77,D76*(1+AA77))))</f>
        <v>0</v>
      </c>
      <c r="E77" s="107"/>
      <c r="F77" s="107">
        <f t="shared" si="0"/>
        <v>0</v>
      </c>
      <c r="G77" s="107"/>
      <c r="H77" s="107">
        <f t="shared" si="23"/>
        <v>0</v>
      </c>
      <c r="I77" s="108"/>
      <c r="J77" s="109"/>
      <c r="K77" s="108"/>
      <c r="L77" s="107">
        <f>IF(Simulador!$T$40=1,0,J77*Simulador!$W$38*1.16)</f>
        <v>0</v>
      </c>
      <c r="M77" s="107"/>
      <c r="N77" s="111"/>
      <c r="O77" s="13"/>
      <c r="P77" s="664">
        <f t="shared" si="1"/>
      </c>
      <c r="Q77" s="3"/>
      <c r="R77" s="107">
        <f t="shared" si="7"/>
        <v>0</v>
      </c>
      <c r="S77" s="107"/>
      <c r="T77" s="107">
        <f>_xlfn.IFERROR(IF(Simulador!$U$29=1,0,IF($B77&lt;=0,0,$B77*Simulador!$AA$42)),0)</f>
        <v>0</v>
      </c>
      <c r="U77" s="107"/>
      <c r="V77" s="107">
        <f>_xlfn.IFERROR(IF(Simulador!$U$29=1,0,IF($B77&lt;=0,0,IF(Simulador!$D$22&gt;0,Simulador!$D$22,Simulador!$O$24)*Simulador!$AA$43)),0)</f>
        <v>0</v>
      </c>
      <c r="W77" s="107"/>
      <c r="X77" s="107"/>
      <c r="Y77" s="107">
        <f t="shared" si="2"/>
        <v>0</v>
      </c>
      <c r="Z77" s="14"/>
      <c r="AA77" s="19"/>
      <c r="AB77" s="24"/>
      <c r="AC77" s="303">
        <v>5</v>
      </c>
      <c r="AD77" s="301">
        <v>3</v>
      </c>
      <c r="AE77" s="400">
        <f t="shared" si="8"/>
        <v>0</v>
      </c>
      <c r="AF77" s="279">
        <f t="shared" si="9"/>
        <v>0</v>
      </c>
      <c r="AG77" s="279">
        <f t="shared" si="10"/>
        <v>0</v>
      </c>
      <c r="AH77" s="418">
        <f t="shared" si="11"/>
        <v>0</v>
      </c>
      <c r="AI77" s="296">
        <f>IF(Simulador!$T$67=1,'Tabla de amortizacion'!AJ77,'Tabla de amortizacion'!AR77)</f>
        <v>0.0925</v>
      </c>
      <c r="AJ77" s="297">
        <f aca="true" t="shared" si="49" ref="AJ77:AJ86">AJ76</f>
        <v>0.0925</v>
      </c>
      <c r="AK77" s="298">
        <f t="shared" si="12"/>
        <v>0</v>
      </c>
      <c r="AL77" s="297">
        <f t="shared" si="45"/>
        <v>0.092</v>
      </c>
      <c r="AM77" s="297">
        <f t="shared" si="46"/>
        <v>0.092</v>
      </c>
      <c r="AN77" s="520">
        <f t="shared" si="47"/>
        <v>0.092</v>
      </c>
      <c r="AO77" s="520">
        <f t="shared" si="48"/>
        <v>0.092</v>
      </c>
      <c r="AP77" s="299">
        <v>0</v>
      </c>
      <c r="AQ77" s="414">
        <f t="shared" si="16"/>
        <v>0</v>
      </c>
      <c r="AR77" s="300">
        <f>IF(AND(Simulador!$T$67=2,Simulador!$T$61=1),AL77,IF(AND(Simulador!$T$67=2,Simulador!$T$61=2),AM77,IF(AND(Simulador!$T$67=2,Simulador!$T$61=3),AN77,AO77)))</f>
        <v>0.092</v>
      </c>
      <c r="AS77" s="281"/>
      <c r="AT77" s="70">
        <f t="shared" si="30"/>
        <v>0</v>
      </c>
      <c r="AU77" s="70">
        <f t="shared" si="18"/>
        <v>0</v>
      </c>
      <c r="AV77" s="71">
        <f t="shared" si="3"/>
        <v>0</v>
      </c>
      <c r="AW77" s="70">
        <f t="shared" si="4"/>
        <v>0</v>
      </c>
      <c r="AX77" s="70">
        <f t="shared" si="19"/>
        <v>0</v>
      </c>
      <c r="AY77" s="72">
        <f t="shared" si="5"/>
      </c>
      <c r="AZ77" s="70">
        <f>_xlfn.IFERROR(IF(Simulador!$U$29=1,0,IF($AT77&lt;=0.01,0,$AT77*Simulador!$AA$42)),0)+_xlfn.IFERROR(IF(Simulador!$U$29=1,0,IF($AT77&lt;=0.01,0,IF(Simulador!$D$22&gt;0,Simulador!$D$22,Simulador!$O$24)*Simulador!$AA$43)),0)</f>
        <v>0</v>
      </c>
      <c r="BA77" s="73"/>
      <c r="BB77" s="70">
        <f t="shared" si="6"/>
        <v>0</v>
      </c>
      <c r="BC77">
        <f t="shared" si="20"/>
        <v>0</v>
      </c>
      <c r="BD77" s="431">
        <f t="shared" si="21"/>
      </c>
      <c r="BE77" s="432">
        <f t="shared" si="25"/>
        <v>0</v>
      </c>
      <c r="BF77" s="69">
        <v>63</v>
      </c>
      <c r="BG77" s="38"/>
      <c r="BH77" s="438"/>
      <c r="BJ77" s="69"/>
      <c r="BM77" s="432"/>
    </row>
    <row r="78" spans="1:65" ht="12">
      <c r="A78" s="531">
        <v>64</v>
      </c>
      <c r="B78" s="106">
        <f t="shared" si="22"/>
        <v>0</v>
      </c>
      <c r="C78" s="106"/>
      <c r="D78" s="107">
        <f>IF(B78+F78-D77&lt;=0,B78+F78,IF(AND(OR(Simulador!$U$38=2,Simulador!$U$38=7),J77=0),D77*(1+AA78),IF($AE$3=2,B78*AQ78,D77*(1+AA78))))</f>
        <v>0</v>
      </c>
      <c r="E78" s="107"/>
      <c r="F78" s="107">
        <f t="shared" si="0"/>
        <v>0</v>
      </c>
      <c r="G78" s="107"/>
      <c r="H78" s="107">
        <f t="shared" si="23"/>
        <v>0</v>
      </c>
      <c r="I78" s="108"/>
      <c r="J78" s="109"/>
      <c r="K78" s="108"/>
      <c r="L78" s="107">
        <f>IF(Simulador!$T$40=1,0,J78*Simulador!$W$38*1.16)</f>
        <v>0</v>
      </c>
      <c r="M78" s="107"/>
      <c r="N78" s="110">
        <f>IF(B78-H78=0,0,N76)</f>
        <v>0</v>
      </c>
      <c r="O78" s="13"/>
      <c r="P78" s="664">
        <f t="shared" si="1"/>
      </c>
      <c r="Q78" s="3"/>
      <c r="R78" s="107">
        <f t="shared" si="7"/>
        <v>0</v>
      </c>
      <c r="S78" s="107"/>
      <c r="T78" s="107">
        <f>_xlfn.IFERROR(IF(Simulador!$U$29=1,0,IF($B78&lt;=0,0,$B78*Simulador!$AA$42)),0)</f>
        <v>0</v>
      </c>
      <c r="U78" s="107"/>
      <c r="V78" s="107">
        <f>_xlfn.IFERROR(IF(Simulador!$U$29=1,0,IF($B78&lt;=0,0,IF(Simulador!$D$22&gt;0,Simulador!$D$22,Simulador!$O$24)*Simulador!$AA$43)),0)</f>
        <v>0</v>
      </c>
      <c r="W78" s="107"/>
      <c r="X78" s="107"/>
      <c r="Y78" s="107">
        <f t="shared" si="2"/>
        <v>0</v>
      </c>
      <c r="Z78" s="14"/>
      <c r="AA78" s="19"/>
      <c r="AB78" s="24"/>
      <c r="AC78" s="303">
        <v>5</v>
      </c>
      <c r="AD78" s="295">
        <v>4</v>
      </c>
      <c r="AE78" s="400">
        <f t="shared" si="8"/>
        <v>0</v>
      </c>
      <c r="AF78" s="279">
        <f t="shared" si="9"/>
        <v>0</v>
      </c>
      <c r="AG78" s="279">
        <f t="shared" si="10"/>
        <v>0</v>
      </c>
      <c r="AH78" s="418">
        <f t="shared" si="11"/>
        <v>0</v>
      </c>
      <c r="AI78" s="296">
        <f>IF(Simulador!$T$67=1,'Tabla de amortizacion'!AJ78,'Tabla de amortizacion'!AR78)</f>
        <v>0.0925</v>
      </c>
      <c r="AJ78" s="297">
        <f t="shared" si="49"/>
        <v>0.0925</v>
      </c>
      <c r="AK78" s="298">
        <f t="shared" si="12"/>
        <v>0</v>
      </c>
      <c r="AL78" s="297">
        <f t="shared" si="45"/>
        <v>0.092</v>
      </c>
      <c r="AM78" s="297">
        <f t="shared" si="46"/>
        <v>0.092</v>
      </c>
      <c r="AN78" s="520">
        <f t="shared" si="47"/>
        <v>0.092</v>
      </c>
      <c r="AO78" s="520">
        <f t="shared" si="48"/>
        <v>0.092</v>
      </c>
      <c r="AP78" s="299">
        <v>0</v>
      </c>
      <c r="AQ78" s="414">
        <f t="shared" si="16"/>
        <v>0</v>
      </c>
      <c r="AR78" s="300">
        <f>IF(AND(Simulador!$T$67=2,Simulador!$T$61=1),AL78,IF(AND(Simulador!$T$67=2,Simulador!$T$61=2),AM78,IF(AND(Simulador!$T$67=2,Simulador!$T$61=3),AN78,AO78)))</f>
        <v>0.092</v>
      </c>
      <c r="AS78" s="281"/>
      <c r="AT78" s="70">
        <f t="shared" si="30"/>
        <v>0</v>
      </c>
      <c r="AU78" s="70">
        <f t="shared" si="18"/>
        <v>0</v>
      </c>
      <c r="AV78" s="71">
        <f t="shared" si="3"/>
        <v>0</v>
      </c>
      <c r="AW78" s="70">
        <f t="shared" si="4"/>
        <v>0</v>
      </c>
      <c r="AX78" s="70">
        <f t="shared" si="19"/>
        <v>0</v>
      </c>
      <c r="AY78" s="72">
        <f t="shared" si="5"/>
      </c>
      <c r="AZ78" s="70">
        <f>_xlfn.IFERROR(IF(Simulador!$U$29=1,0,IF($AT78&lt;=0.01,0,$AT78*Simulador!$AA$42)),0)+_xlfn.IFERROR(IF(Simulador!$U$29=1,0,IF($AT78&lt;=0.01,0,IF(Simulador!$D$22&gt;0,Simulador!$D$22,Simulador!$O$24)*Simulador!$AA$43)),0)</f>
        <v>0</v>
      </c>
      <c r="BA78" s="73"/>
      <c r="BB78" s="70">
        <f t="shared" si="6"/>
        <v>0</v>
      </c>
      <c r="BC78">
        <f t="shared" si="20"/>
        <v>0</v>
      </c>
      <c r="BD78" s="431">
        <f t="shared" si="21"/>
      </c>
      <c r="BE78" s="432">
        <f t="shared" si="25"/>
        <v>0</v>
      </c>
      <c r="BF78" s="69">
        <v>64</v>
      </c>
      <c r="BG78" s="38"/>
      <c r="BH78" s="438"/>
      <c r="BJ78" s="69"/>
      <c r="BM78" s="432"/>
    </row>
    <row r="79" spans="1:65" ht="12">
      <c r="A79" s="531">
        <v>65</v>
      </c>
      <c r="B79" s="106">
        <f t="shared" si="22"/>
        <v>0</v>
      </c>
      <c r="C79" s="106"/>
      <c r="D79" s="107">
        <f>IF(B79+F79-D78&lt;=0,B79+F79,IF(AND(OR(Simulador!$U$38=2,Simulador!$U$38=7),J78=0),D78*(1+AA79),IF($AE$3=2,B79*AQ79,D78*(1+AA79))))</f>
        <v>0</v>
      </c>
      <c r="E79" s="107"/>
      <c r="F79" s="107">
        <f aca="true" t="shared" si="50" ref="F79:F142">_xlfn.IFERROR(IF(B79=0,0,P79/360*BE79*B79),0)</f>
        <v>0</v>
      </c>
      <c r="G79" s="107"/>
      <c r="H79" s="107">
        <f t="shared" si="23"/>
        <v>0</v>
      </c>
      <c r="I79" s="108"/>
      <c r="J79" s="109"/>
      <c r="K79" s="108"/>
      <c r="L79" s="107">
        <f>IF(Simulador!$T$40=1,0,J79*Simulador!$W$38*1.16)</f>
        <v>0</v>
      </c>
      <c r="M79" s="107"/>
      <c r="N79" s="111"/>
      <c r="O79" s="13"/>
      <c r="P79" s="664">
        <f aca="true" t="shared" si="51" ref="P79:P142">IF(B79=0,"",AI79)</f>
      </c>
      <c r="Q79" s="3"/>
      <c r="R79" s="107">
        <f t="shared" si="7"/>
        <v>0</v>
      </c>
      <c r="S79" s="107"/>
      <c r="T79" s="107">
        <f>_xlfn.IFERROR(IF(Simulador!$U$29=1,0,IF($B79&lt;=0,0,$B79*Simulador!$AA$42)),0)</f>
        <v>0</v>
      </c>
      <c r="U79" s="107"/>
      <c r="V79" s="107">
        <f>_xlfn.IFERROR(IF(Simulador!$U$29=1,0,IF($B79&lt;=0,0,IF(Simulador!$D$22&gt;0,Simulador!$D$22,Simulador!$O$24)*Simulador!$AA$43)),0)</f>
        <v>0</v>
      </c>
      <c r="W79" s="107"/>
      <c r="X79" s="107"/>
      <c r="Y79" s="107">
        <f aca="true" t="shared" si="52" ref="Y79:Y142">IF(B79&lt;=0,0,D79+J79+T79+V79)</f>
        <v>0</v>
      </c>
      <c r="Z79" s="14"/>
      <c r="AA79" s="19"/>
      <c r="AB79" s="24"/>
      <c r="AC79" s="303">
        <v>5</v>
      </c>
      <c r="AD79" s="295">
        <v>5</v>
      </c>
      <c r="AE79" s="400">
        <f t="shared" si="8"/>
        <v>0</v>
      </c>
      <c r="AF79" s="279">
        <f t="shared" si="9"/>
        <v>0</v>
      </c>
      <c r="AG79" s="279">
        <f t="shared" si="10"/>
        <v>0</v>
      </c>
      <c r="AH79" s="418">
        <f t="shared" si="11"/>
        <v>0</v>
      </c>
      <c r="AI79" s="296">
        <f>IF(Simulador!$T$67=1,'Tabla de amortizacion'!AJ79,'Tabla de amortizacion'!AR79)</f>
        <v>0.0925</v>
      </c>
      <c r="AJ79" s="297">
        <f t="shared" si="49"/>
        <v>0.0925</v>
      </c>
      <c r="AK79" s="298">
        <f t="shared" si="12"/>
        <v>0</v>
      </c>
      <c r="AL79" s="297">
        <f t="shared" si="45"/>
        <v>0.092</v>
      </c>
      <c r="AM79" s="297">
        <f t="shared" si="46"/>
        <v>0.092</v>
      </c>
      <c r="AN79" s="520">
        <f t="shared" si="47"/>
        <v>0.092</v>
      </c>
      <c r="AO79" s="520">
        <f t="shared" si="48"/>
        <v>0.092</v>
      </c>
      <c r="AP79" s="299">
        <v>0</v>
      </c>
      <c r="AQ79" s="414">
        <f t="shared" si="16"/>
        <v>0</v>
      </c>
      <c r="AR79" s="300">
        <f>IF(AND(Simulador!$T$67=2,Simulador!$T$61=1),AL79,IF(AND(Simulador!$T$67=2,Simulador!$T$61=2),AM79,IF(AND(Simulador!$T$67=2,Simulador!$T$61=3),AN79,AO79)))</f>
        <v>0.092</v>
      </c>
      <c r="AS79" s="281"/>
      <c r="AT79" s="70">
        <f t="shared" si="30"/>
        <v>0</v>
      </c>
      <c r="AU79" s="70">
        <f t="shared" si="18"/>
        <v>0</v>
      </c>
      <c r="AV79" s="71">
        <f aca="true" t="shared" si="53" ref="AV79:AV142">_xlfn.IFERROR((AY79/360*BE79*AT79),0)</f>
        <v>0</v>
      </c>
      <c r="AW79" s="70">
        <f aca="true" t="shared" si="54" ref="AW79:AW142">+AU79-AV79</f>
        <v>0</v>
      </c>
      <c r="AX79" s="70">
        <f t="shared" si="19"/>
        <v>0</v>
      </c>
      <c r="AY79" s="72">
        <f aca="true" t="shared" si="55" ref="AY79:AY142">IF(AT79=0,"",AI79)</f>
      </c>
      <c r="AZ79" s="70">
        <f>_xlfn.IFERROR(IF(Simulador!$U$29=1,0,IF($AT79&lt;=0.01,0,$AT79*Simulador!$AA$42)),0)+_xlfn.IFERROR(IF(Simulador!$U$29=1,0,IF($AT79&lt;=0.01,0,IF(Simulador!$D$22&gt;0,Simulador!$D$22,Simulador!$O$24)*Simulador!$AA$43)),0)</f>
        <v>0</v>
      </c>
      <c r="BA79" s="73"/>
      <c r="BB79" s="70">
        <f aca="true" t="shared" si="56" ref="BB79:BB142">AV79+AW79+AZ79</f>
        <v>0</v>
      </c>
      <c r="BC79">
        <f t="shared" si="20"/>
        <v>0</v>
      </c>
      <c r="BD79" s="431">
        <f t="shared" si="21"/>
      </c>
      <c r="BE79" s="432">
        <f t="shared" si="25"/>
        <v>0</v>
      </c>
      <c r="BF79" s="69">
        <v>65</v>
      </c>
      <c r="BG79" s="38"/>
      <c r="BH79" s="438"/>
      <c r="BJ79" s="69"/>
      <c r="BM79" s="432"/>
    </row>
    <row r="80" spans="1:65" ht="12">
      <c r="A80" s="531">
        <v>66</v>
      </c>
      <c r="B80" s="106">
        <f t="shared" si="22"/>
        <v>0</v>
      </c>
      <c r="C80" s="106"/>
      <c r="D80" s="107">
        <f>IF(B80+F80-D79&lt;=0,B80+F80,IF(AND(OR(Simulador!$U$38=2,Simulador!$U$38=7),J79=0),D79*(1+AA80),IF($AE$3=2,B80*AQ80,D79*(1+AA80))))</f>
        <v>0</v>
      </c>
      <c r="E80" s="107"/>
      <c r="F80" s="107">
        <f t="shared" si="50"/>
        <v>0</v>
      </c>
      <c r="G80" s="107"/>
      <c r="H80" s="107">
        <f t="shared" si="23"/>
        <v>0</v>
      </c>
      <c r="I80" s="108"/>
      <c r="J80" s="109"/>
      <c r="K80" s="108"/>
      <c r="L80" s="107">
        <f>IF(Simulador!$T$40=1,0,J80*Simulador!$W$38*1.16)</f>
        <v>0</v>
      </c>
      <c r="M80" s="107"/>
      <c r="N80" s="110">
        <f>IF(B80-H80=0,0,N78)</f>
        <v>0</v>
      </c>
      <c r="O80" s="13"/>
      <c r="P80" s="664">
        <f t="shared" si="51"/>
      </c>
      <c r="Q80" s="3"/>
      <c r="R80" s="107">
        <f aca="true" t="shared" si="57" ref="R80:R143">B80-H80-J80+L80-N80</f>
        <v>0</v>
      </c>
      <c r="S80" s="107"/>
      <c r="T80" s="107">
        <f>_xlfn.IFERROR(IF(Simulador!$U$29=1,0,IF($B80&lt;=0,0,$B80*Simulador!$AA$42)),0)</f>
        <v>0</v>
      </c>
      <c r="U80" s="107"/>
      <c r="V80" s="107">
        <f>_xlfn.IFERROR(IF(Simulador!$U$29=1,0,IF($B80&lt;=0,0,IF(Simulador!$D$22&gt;0,Simulador!$D$22,Simulador!$O$24)*Simulador!$AA$43)),0)</f>
        <v>0</v>
      </c>
      <c r="W80" s="107"/>
      <c r="X80" s="107"/>
      <c r="Y80" s="107">
        <f t="shared" si="52"/>
        <v>0</v>
      </c>
      <c r="Z80" s="14"/>
      <c r="AA80" s="19"/>
      <c r="AB80" s="24"/>
      <c r="AC80" s="303">
        <v>5</v>
      </c>
      <c r="AD80" s="295">
        <v>6</v>
      </c>
      <c r="AE80" s="400">
        <f aca="true" t="shared" si="58" ref="AE80:AE143">IF(R80&lt;=0,IF(R79&gt;0,A80,0),0)</f>
        <v>0</v>
      </c>
      <c r="AF80" s="279">
        <f aca="true" t="shared" si="59" ref="AF80:AF143">IF(AE80&gt;0,AC80,0)</f>
        <v>0</v>
      </c>
      <c r="AG80" s="279">
        <f aca="true" t="shared" si="60" ref="AG80:AG143">IF(AE80&gt;0,AD80,0)</f>
        <v>0</v>
      </c>
      <c r="AH80" s="418">
        <f aca="true" t="shared" si="61" ref="AH80:AH143">Y80</f>
        <v>0</v>
      </c>
      <c r="AI80" s="296">
        <f>IF(Simulador!$T$67=1,'Tabla de amortizacion'!AJ80,'Tabla de amortizacion'!AR80)</f>
        <v>0.0925</v>
      </c>
      <c r="AJ80" s="297">
        <f t="shared" si="49"/>
        <v>0.0925</v>
      </c>
      <c r="AK80" s="298">
        <f aca="true" t="shared" si="62" ref="AK80:AK143">AK79*(1+AA80)</f>
        <v>0</v>
      </c>
      <c r="AL80" s="297">
        <f t="shared" si="45"/>
        <v>0.092</v>
      </c>
      <c r="AM80" s="297">
        <f t="shared" si="46"/>
        <v>0.092</v>
      </c>
      <c r="AN80" s="520">
        <f t="shared" si="47"/>
        <v>0.092</v>
      </c>
      <c r="AO80" s="520">
        <f t="shared" si="48"/>
        <v>0.092</v>
      </c>
      <c r="AP80" s="299">
        <v>0</v>
      </c>
      <c r="AQ80" s="414">
        <f aca="true" t="shared" si="63" ref="AQ80:AQ143">_xlfn.IFERROR((AU80/AT80),0)</f>
        <v>0</v>
      </c>
      <c r="AR80" s="300">
        <f>IF(AND(Simulador!$T$67=2,Simulador!$T$61=1),AL80,IF(AND(Simulador!$T$67=2,Simulador!$T$61=2),AM80,IF(AND(Simulador!$T$67=2,Simulador!$T$61=3),AN80,AO80)))</f>
        <v>0.092</v>
      </c>
      <c r="AS80" s="281"/>
      <c r="AT80" s="70">
        <f t="shared" si="30"/>
        <v>0</v>
      </c>
      <c r="AU80" s="70">
        <f aca="true" t="shared" si="64" ref="AU80:AU143">_xlfn.IFERROR((IF(AT80+AV80-AU79&lt;0,AT80+AV80,AU79*(1+BA80))),0)</f>
        <v>0</v>
      </c>
      <c r="AV80" s="71">
        <f t="shared" si="53"/>
        <v>0</v>
      </c>
      <c r="AW80" s="70">
        <f t="shared" si="54"/>
        <v>0</v>
      </c>
      <c r="AX80" s="70">
        <f aca="true" t="shared" si="65" ref="AX80:AX143">+AT80-AW80</f>
        <v>0</v>
      </c>
      <c r="AY80" s="72">
        <f t="shared" si="55"/>
      </c>
      <c r="AZ80" s="70">
        <f>_xlfn.IFERROR(IF(Simulador!$U$29=1,0,IF($AT80&lt;=0.01,0,$AT80*Simulador!$AA$42)),0)+_xlfn.IFERROR(IF(Simulador!$U$29=1,0,IF($AT80&lt;=0.01,0,IF(Simulador!$D$22&gt;0,Simulador!$D$22,Simulador!$O$24)*Simulador!$AA$43)),0)</f>
        <v>0</v>
      </c>
      <c r="BA80" s="73"/>
      <c r="BB80" s="70">
        <f t="shared" si="56"/>
        <v>0</v>
      </c>
      <c r="BC80">
        <f aca="true" t="shared" si="66" ref="BC80:BC143">_xlfn.IFERROR(IF(AU80&lt;=0.01,0,BC79-1),0)</f>
        <v>0</v>
      </c>
      <c r="BD80" s="431">
        <f aca="true" t="shared" si="67" ref="BD80:BD143">IF(AT80=0,"",DATE(YEAR(BD79),MONTH(BD79)+1,1))</f>
      </c>
      <c r="BE80" s="432">
        <f aca="true" t="shared" si="68" ref="BE80:BE143">_xlfn.IFERROR(DAY(DATE(YEAR(BD80),MONTH(BD80)+1,0)),0)</f>
        <v>0</v>
      </c>
      <c r="BF80" s="69">
        <v>66</v>
      </c>
      <c r="BG80" s="38"/>
      <c r="BH80" s="438"/>
      <c r="BJ80" s="69"/>
      <c r="BM80" s="432"/>
    </row>
    <row r="81" spans="1:65" ht="12">
      <c r="A81" s="531">
        <v>67</v>
      </c>
      <c r="B81" s="106">
        <f aca="true" t="shared" si="69" ref="B81:B144">IF(R80&lt;=0,0,R80)</f>
        <v>0</v>
      </c>
      <c r="C81" s="106"/>
      <c r="D81" s="107">
        <f>IF(B81+F81-D80&lt;=0,B81+F81,IF(AND(OR(Simulador!$U$38=2,Simulador!$U$38=7),J80=0),D80*(1+AA81),IF($AE$3=2,B81*AQ81,D80*(1+AA81))))</f>
        <v>0</v>
      </c>
      <c r="E81" s="107"/>
      <c r="F81" s="107">
        <f t="shared" si="50"/>
        <v>0</v>
      </c>
      <c r="G81" s="107"/>
      <c r="H81" s="107">
        <f aca="true" t="shared" si="70" ref="H81:H144">D81-F81</f>
        <v>0</v>
      </c>
      <c r="I81" s="108"/>
      <c r="J81" s="109"/>
      <c r="K81" s="108"/>
      <c r="L81" s="107">
        <f>IF(Simulador!$T$40=1,0,J81*Simulador!$W$38*1.16)</f>
        <v>0</v>
      </c>
      <c r="M81" s="107"/>
      <c r="N81" s="111"/>
      <c r="O81" s="13"/>
      <c r="P81" s="664">
        <f t="shared" si="51"/>
      </c>
      <c r="Q81" s="3"/>
      <c r="R81" s="107">
        <f t="shared" si="57"/>
        <v>0</v>
      </c>
      <c r="S81" s="107"/>
      <c r="T81" s="107">
        <f>_xlfn.IFERROR(IF(Simulador!$U$29=1,0,IF($B81&lt;=0,0,$B81*Simulador!$AA$42)),0)</f>
        <v>0</v>
      </c>
      <c r="U81" s="107"/>
      <c r="V81" s="107">
        <f>_xlfn.IFERROR(IF(Simulador!$U$29=1,0,IF($B81&lt;=0,0,IF(Simulador!$D$22&gt;0,Simulador!$D$22,Simulador!$O$24)*Simulador!$AA$43)),0)</f>
        <v>0</v>
      </c>
      <c r="W81" s="107"/>
      <c r="X81" s="107"/>
      <c r="Y81" s="107">
        <f t="shared" si="52"/>
        <v>0</v>
      </c>
      <c r="Z81" s="14"/>
      <c r="AA81" s="19"/>
      <c r="AB81" s="24"/>
      <c r="AC81" s="303">
        <v>5</v>
      </c>
      <c r="AD81" s="295">
        <v>7</v>
      </c>
      <c r="AE81" s="400">
        <f t="shared" si="58"/>
        <v>0</v>
      </c>
      <c r="AF81" s="279">
        <f t="shared" si="59"/>
        <v>0</v>
      </c>
      <c r="AG81" s="279">
        <f t="shared" si="60"/>
        <v>0</v>
      </c>
      <c r="AH81" s="418">
        <f t="shared" si="61"/>
        <v>0</v>
      </c>
      <c r="AI81" s="296">
        <f>IF(Simulador!$T$67=1,'Tabla de amortizacion'!AJ81,'Tabla de amortizacion'!AR81)</f>
        <v>0.0925</v>
      </c>
      <c r="AJ81" s="297">
        <f t="shared" si="49"/>
        <v>0.0925</v>
      </c>
      <c r="AK81" s="298">
        <f t="shared" si="62"/>
        <v>0</v>
      </c>
      <c r="AL81" s="297">
        <f t="shared" si="45"/>
        <v>0.092</v>
      </c>
      <c r="AM81" s="297">
        <f t="shared" si="46"/>
        <v>0.092</v>
      </c>
      <c r="AN81" s="520">
        <f t="shared" si="47"/>
        <v>0.092</v>
      </c>
      <c r="AO81" s="520">
        <f t="shared" si="48"/>
        <v>0.092</v>
      </c>
      <c r="AP81" s="299">
        <v>0</v>
      </c>
      <c r="AQ81" s="414">
        <f t="shared" si="63"/>
        <v>0</v>
      </c>
      <c r="AR81" s="300">
        <f>IF(AND(Simulador!$T$67=2,Simulador!$T$61=1),AL81,IF(AND(Simulador!$T$67=2,Simulador!$T$61=2),AM81,IF(AND(Simulador!$T$67=2,Simulador!$T$61=3),AN81,AO81)))</f>
        <v>0.092</v>
      </c>
      <c r="AS81" s="281"/>
      <c r="AT81" s="70">
        <f t="shared" si="30"/>
        <v>0</v>
      </c>
      <c r="AU81" s="70">
        <f t="shared" si="64"/>
        <v>0</v>
      </c>
      <c r="AV81" s="71">
        <f t="shared" si="53"/>
        <v>0</v>
      </c>
      <c r="AW81" s="70">
        <f t="shared" si="54"/>
        <v>0</v>
      </c>
      <c r="AX81" s="70">
        <f t="shared" si="65"/>
        <v>0</v>
      </c>
      <c r="AY81" s="72">
        <f t="shared" si="55"/>
      </c>
      <c r="AZ81" s="70">
        <f>_xlfn.IFERROR(IF(Simulador!$U$29=1,0,IF($AT81&lt;=0.01,0,$AT81*Simulador!$AA$42)),0)+_xlfn.IFERROR(IF(Simulador!$U$29=1,0,IF($AT81&lt;=0.01,0,IF(Simulador!$D$22&gt;0,Simulador!$D$22,Simulador!$O$24)*Simulador!$AA$43)),0)</f>
        <v>0</v>
      </c>
      <c r="BA81" s="73"/>
      <c r="BB81" s="70">
        <f t="shared" si="56"/>
        <v>0</v>
      </c>
      <c r="BC81">
        <f t="shared" si="66"/>
        <v>0</v>
      </c>
      <c r="BD81" s="431">
        <f t="shared" si="67"/>
      </c>
      <c r="BE81" s="432">
        <f t="shared" si="68"/>
        <v>0</v>
      </c>
      <c r="BF81" s="69">
        <v>67</v>
      </c>
      <c r="BG81" s="38"/>
      <c r="BH81" s="438"/>
      <c r="BJ81" s="69"/>
      <c r="BM81" s="432"/>
    </row>
    <row r="82" spans="1:65" ht="12">
      <c r="A82" s="531">
        <v>68</v>
      </c>
      <c r="B82" s="106">
        <f t="shared" si="69"/>
        <v>0</v>
      </c>
      <c r="C82" s="106"/>
      <c r="D82" s="107">
        <f>IF(B82+F82-D81&lt;=0,B82+F82,IF(AND(OR(Simulador!$U$38=2,Simulador!$U$38=7),J81=0),D81*(1+AA82),IF($AE$3=2,B82*AQ82,D81*(1+AA82))))</f>
        <v>0</v>
      </c>
      <c r="E82" s="107"/>
      <c r="F82" s="107">
        <f t="shared" si="50"/>
        <v>0</v>
      </c>
      <c r="G82" s="107"/>
      <c r="H82" s="107">
        <f t="shared" si="70"/>
        <v>0</v>
      </c>
      <c r="I82" s="108"/>
      <c r="J82" s="109"/>
      <c r="K82" s="108"/>
      <c r="L82" s="107">
        <f>IF(Simulador!$T$40=1,0,J82*Simulador!$W$38*1.16)</f>
        <v>0</v>
      </c>
      <c r="M82" s="107"/>
      <c r="N82" s="110">
        <f>IF(B82-H82=0,0,N80)</f>
        <v>0</v>
      </c>
      <c r="O82" s="13"/>
      <c r="P82" s="664">
        <f t="shared" si="51"/>
      </c>
      <c r="Q82" s="3"/>
      <c r="R82" s="107">
        <f t="shared" si="57"/>
        <v>0</v>
      </c>
      <c r="S82" s="107"/>
      <c r="T82" s="107">
        <f>_xlfn.IFERROR(IF(Simulador!$U$29=1,0,IF($B82&lt;=0,0,$B82*Simulador!$AA$42)),0)</f>
        <v>0</v>
      </c>
      <c r="U82" s="107"/>
      <c r="V82" s="107">
        <f>_xlfn.IFERROR(IF(Simulador!$U$29=1,0,IF($B82&lt;=0,0,IF(Simulador!$D$22&gt;0,Simulador!$D$22,Simulador!$O$24)*Simulador!$AA$43)),0)</f>
        <v>0</v>
      </c>
      <c r="W82" s="107"/>
      <c r="X82" s="107"/>
      <c r="Y82" s="107">
        <f t="shared" si="52"/>
        <v>0</v>
      </c>
      <c r="Z82" s="14"/>
      <c r="AA82" s="19"/>
      <c r="AB82" s="24"/>
      <c r="AC82" s="303">
        <v>5</v>
      </c>
      <c r="AD82" s="295">
        <v>8</v>
      </c>
      <c r="AE82" s="400">
        <f t="shared" si="58"/>
        <v>0</v>
      </c>
      <c r="AF82" s="279">
        <f t="shared" si="59"/>
        <v>0</v>
      </c>
      <c r="AG82" s="279">
        <f t="shared" si="60"/>
        <v>0</v>
      </c>
      <c r="AH82" s="418">
        <f t="shared" si="61"/>
        <v>0</v>
      </c>
      <c r="AI82" s="296">
        <f>IF(Simulador!$T$67=1,'Tabla de amortizacion'!AJ82,'Tabla de amortizacion'!AR82)</f>
        <v>0.0925</v>
      </c>
      <c r="AJ82" s="297">
        <f t="shared" si="49"/>
        <v>0.0925</v>
      </c>
      <c r="AK82" s="298">
        <f t="shared" si="62"/>
        <v>0</v>
      </c>
      <c r="AL82" s="297">
        <f t="shared" si="45"/>
        <v>0.092</v>
      </c>
      <c r="AM82" s="297">
        <f t="shared" si="46"/>
        <v>0.092</v>
      </c>
      <c r="AN82" s="520">
        <f t="shared" si="47"/>
        <v>0.092</v>
      </c>
      <c r="AO82" s="520">
        <f t="shared" si="48"/>
        <v>0.092</v>
      </c>
      <c r="AP82" s="299">
        <v>0</v>
      </c>
      <c r="AQ82" s="414">
        <f t="shared" si="63"/>
        <v>0</v>
      </c>
      <c r="AR82" s="300">
        <f>IF(AND(Simulador!$T$67=2,Simulador!$T$61=1),AL82,IF(AND(Simulador!$T$67=2,Simulador!$T$61=2),AM82,IF(AND(Simulador!$T$67=2,Simulador!$T$61=3),AN82,AO82)))</f>
        <v>0.092</v>
      </c>
      <c r="AS82" s="281"/>
      <c r="AT82" s="70">
        <f t="shared" si="30"/>
        <v>0</v>
      </c>
      <c r="AU82" s="70">
        <f t="shared" si="64"/>
        <v>0</v>
      </c>
      <c r="AV82" s="71">
        <f t="shared" si="53"/>
        <v>0</v>
      </c>
      <c r="AW82" s="70">
        <f t="shared" si="54"/>
        <v>0</v>
      </c>
      <c r="AX82" s="70">
        <f t="shared" si="65"/>
        <v>0</v>
      </c>
      <c r="AY82" s="72">
        <f t="shared" si="55"/>
      </c>
      <c r="AZ82" s="70">
        <f>_xlfn.IFERROR(IF(Simulador!$U$29=1,0,IF($AT82&lt;=0.01,0,$AT82*Simulador!$AA$42)),0)+_xlfn.IFERROR(IF(Simulador!$U$29=1,0,IF($AT82&lt;=0.01,0,IF(Simulador!$D$22&gt;0,Simulador!$D$22,Simulador!$O$24)*Simulador!$AA$43)),0)</f>
        <v>0</v>
      </c>
      <c r="BA82" s="73"/>
      <c r="BB82" s="70">
        <f t="shared" si="56"/>
        <v>0</v>
      </c>
      <c r="BC82">
        <f t="shared" si="66"/>
        <v>0</v>
      </c>
      <c r="BD82" s="431">
        <f t="shared" si="67"/>
      </c>
      <c r="BE82" s="432">
        <f t="shared" si="68"/>
        <v>0</v>
      </c>
      <c r="BF82" s="69">
        <v>68</v>
      </c>
      <c r="BG82" s="38"/>
      <c r="BH82" s="438"/>
      <c r="BJ82" s="69"/>
      <c r="BM82" s="432"/>
    </row>
    <row r="83" spans="1:65" ht="12">
      <c r="A83" s="531">
        <v>69</v>
      </c>
      <c r="B83" s="106">
        <f t="shared" si="69"/>
        <v>0</v>
      </c>
      <c r="C83" s="106"/>
      <c r="D83" s="107">
        <f>IF(B83+F83-D82&lt;=0,B83+F83,IF(AND(OR(Simulador!$U$38=2,Simulador!$U$38=7),J82=0),D82*(1+AA83),IF($AE$3=2,B83*AQ83,D82*(1+AA83))))</f>
        <v>0</v>
      </c>
      <c r="E83" s="107"/>
      <c r="F83" s="107">
        <f t="shared" si="50"/>
        <v>0</v>
      </c>
      <c r="G83" s="107"/>
      <c r="H83" s="107">
        <f t="shared" si="70"/>
        <v>0</v>
      </c>
      <c r="I83" s="108"/>
      <c r="J83" s="109"/>
      <c r="K83" s="108"/>
      <c r="L83" s="107">
        <f>IF(Simulador!$T$40=1,0,J83*Simulador!$W$38*1.16)</f>
        <v>0</v>
      </c>
      <c r="M83" s="107"/>
      <c r="N83" s="111"/>
      <c r="O83" s="13"/>
      <c r="P83" s="664">
        <f t="shared" si="51"/>
      </c>
      <c r="Q83" s="3"/>
      <c r="R83" s="107">
        <f t="shared" si="57"/>
        <v>0</v>
      </c>
      <c r="S83" s="107"/>
      <c r="T83" s="107">
        <f>_xlfn.IFERROR(IF(Simulador!$U$29=1,0,IF($B83&lt;=0,0,$B83*Simulador!$AA$42)),0)</f>
        <v>0</v>
      </c>
      <c r="U83" s="107"/>
      <c r="V83" s="107">
        <f>_xlfn.IFERROR(IF(Simulador!$U$29=1,0,IF($B83&lt;=0,0,IF(Simulador!$D$22&gt;0,Simulador!$D$22,Simulador!$O$24)*Simulador!$AA$43)),0)</f>
        <v>0</v>
      </c>
      <c r="W83" s="107"/>
      <c r="X83" s="107"/>
      <c r="Y83" s="107">
        <f t="shared" si="52"/>
        <v>0</v>
      </c>
      <c r="Z83" s="14"/>
      <c r="AA83" s="19"/>
      <c r="AB83" s="24"/>
      <c r="AC83" s="303">
        <v>5</v>
      </c>
      <c r="AD83" s="302">
        <v>9</v>
      </c>
      <c r="AE83" s="400">
        <f t="shared" si="58"/>
        <v>0</v>
      </c>
      <c r="AF83" s="279">
        <f t="shared" si="59"/>
        <v>0</v>
      </c>
      <c r="AG83" s="279">
        <f t="shared" si="60"/>
        <v>0</v>
      </c>
      <c r="AH83" s="418">
        <f t="shared" si="61"/>
        <v>0</v>
      </c>
      <c r="AI83" s="296">
        <f>IF(Simulador!$T$67=1,'Tabla de amortizacion'!AJ83,'Tabla de amortizacion'!AR83)</f>
        <v>0.0925</v>
      </c>
      <c r="AJ83" s="297">
        <f t="shared" si="49"/>
        <v>0.0925</v>
      </c>
      <c r="AK83" s="298">
        <f t="shared" si="62"/>
        <v>0</v>
      </c>
      <c r="AL83" s="297">
        <f t="shared" si="45"/>
        <v>0.092</v>
      </c>
      <c r="AM83" s="297">
        <f t="shared" si="46"/>
        <v>0.092</v>
      </c>
      <c r="AN83" s="520">
        <f t="shared" si="47"/>
        <v>0.092</v>
      </c>
      <c r="AO83" s="520">
        <f t="shared" si="48"/>
        <v>0.092</v>
      </c>
      <c r="AP83" s="299">
        <v>0</v>
      </c>
      <c r="AQ83" s="414">
        <f t="shared" si="63"/>
        <v>0</v>
      </c>
      <c r="AR83" s="300">
        <f>IF(AND(Simulador!$T$67=2,Simulador!$T$61=1),AL83,IF(AND(Simulador!$T$67=2,Simulador!$T$61=2),AM83,IF(AND(Simulador!$T$67=2,Simulador!$T$61=3),AN83,AO83)))</f>
        <v>0.092</v>
      </c>
      <c r="AS83" s="281"/>
      <c r="AT83" s="70">
        <f t="shared" si="30"/>
        <v>0</v>
      </c>
      <c r="AU83" s="70">
        <f t="shared" si="64"/>
        <v>0</v>
      </c>
      <c r="AV83" s="71">
        <f t="shared" si="53"/>
        <v>0</v>
      </c>
      <c r="AW83" s="70">
        <f t="shared" si="54"/>
        <v>0</v>
      </c>
      <c r="AX83" s="70">
        <f t="shared" si="65"/>
        <v>0</v>
      </c>
      <c r="AY83" s="72">
        <f t="shared" si="55"/>
      </c>
      <c r="AZ83" s="70">
        <f>_xlfn.IFERROR(IF(Simulador!$U$29=1,0,IF($AT83&lt;=0.01,0,$AT83*Simulador!$AA$42)),0)+_xlfn.IFERROR(IF(Simulador!$U$29=1,0,IF($AT83&lt;=0.01,0,IF(Simulador!$D$22&gt;0,Simulador!$D$22,Simulador!$O$24)*Simulador!$AA$43)),0)</f>
        <v>0</v>
      </c>
      <c r="BA83" s="73"/>
      <c r="BB83" s="70">
        <f t="shared" si="56"/>
        <v>0</v>
      </c>
      <c r="BC83">
        <f t="shared" si="66"/>
        <v>0</v>
      </c>
      <c r="BD83" s="431">
        <f t="shared" si="67"/>
      </c>
      <c r="BE83" s="432">
        <f t="shared" si="68"/>
        <v>0</v>
      </c>
      <c r="BF83" s="69">
        <v>69</v>
      </c>
      <c r="BG83" s="38"/>
      <c r="BH83" s="438"/>
      <c r="BJ83" s="69"/>
      <c r="BM83" s="432"/>
    </row>
    <row r="84" spans="1:65" ht="12">
      <c r="A84" s="531">
        <v>70</v>
      </c>
      <c r="B84" s="106">
        <f t="shared" si="69"/>
        <v>0</v>
      </c>
      <c r="C84" s="106"/>
      <c r="D84" s="107">
        <f>IF(B84+F84-D83&lt;=0,B84+F84,IF(AND(OR(Simulador!$U$38=2,Simulador!$U$38=7),J83=0),D83*(1+AA84),IF($AE$3=2,B84*AQ84,D83*(1+AA84))))</f>
        <v>0</v>
      </c>
      <c r="E84" s="107"/>
      <c r="F84" s="107">
        <f t="shared" si="50"/>
        <v>0</v>
      </c>
      <c r="G84" s="107"/>
      <c r="H84" s="107">
        <f t="shared" si="70"/>
        <v>0</v>
      </c>
      <c r="I84" s="108"/>
      <c r="J84" s="109"/>
      <c r="K84" s="108"/>
      <c r="L84" s="107">
        <f>IF(Simulador!$T$40=1,0,J84*Simulador!$W$38*1.16)</f>
        <v>0</v>
      </c>
      <c r="M84" s="107"/>
      <c r="N84" s="110">
        <f>IF(B84-H84=0,0,N82)</f>
        <v>0</v>
      </c>
      <c r="O84" s="13"/>
      <c r="P84" s="664">
        <f t="shared" si="51"/>
      </c>
      <c r="Q84" s="3"/>
      <c r="R84" s="107">
        <f t="shared" si="57"/>
        <v>0</v>
      </c>
      <c r="S84" s="107"/>
      <c r="T84" s="107">
        <f>_xlfn.IFERROR(IF(Simulador!$U$29=1,0,IF($B84&lt;=0,0,$B84*Simulador!$AA$42)),0)</f>
        <v>0</v>
      </c>
      <c r="U84" s="107"/>
      <c r="V84" s="107">
        <f>_xlfn.IFERROR(IF(Simulador!$U$29=1,0,IF($B84&lt;=0,0,IF(Simulador!$D$22&gt;0,Simulador!$D$22,Simulador!$O$24)*Simulador!$AA$43)),0)</f>
        <v>0</v>
      </c>
      <c r="W84" s="107"/>
      <c r="X84" s="107"/>
      <c r="Y84" s="107">
        <f t="shared" si="52"/>
        <v>0</v>
      </c>
      <c r="Z84" s="14"/>
      <c r="AA84" s="19"/>
      <c r="AB84" s="24"/>
      <c r="AC84" s="303">
        <v>5</v>
      </c>
      <c r="AD84" s="302">
        <v>10</v>
      </c>
      <c r="AE84" s="400">
        <f t="shared" si="58"/>
        <v>0</v>
      </c>
      <c r="AF84" s="279">
        <f t="shared" si="59"/>
        <v>0</v>
      </c>
      <c r="AG84" s="279">
        <f t="shared" si="60"/>
        <v>0</v>
      </c>
      <c r="AH84" s="418">
        <f t="shared" si="61"/>
        <v>0</v>
      </c>
      <c r="AI84" s="296">
        <f>IF(Simulador!$T$67=1,'Tabla de amortizacion'!AJ84,'Tabla de amortizacion'!AR84)</f>
        <v>0.0925</v>
      </c>
      <c r="AJ84" s="297">
        <f t="shared" si="49"/>
        <v>0.0925</v>
      </c>
      <c r="AK84" s="298">
        <f t="shared" si="62"/>
        <v>0</v>
      </c>
      <c r="AL84" s="297">
        <f t="shared" si="45"/>
        <v>0.092</v>
      </c>
      <c r="AM84" s="297">
        <f t="shared" si="46"/>
        <v>0.092</v>
      </c>
      <c r="AN84" s="520">
        <f t="shared" si="47"/>
        <v>0.092</v>
      </c>
      <c r="AO84" s="520">
        <f t="shared" si="48"/>
        <v>0.092</v>
      </c>
      <c r="AP84" s="299">
        <v>0</v>
      </c>
      <c r="AQ84" s="414">
        <f t="shared" si="63"/>
        <v>0</v>
      </c>
      <c r="AR84" s="300">
        <f>IF(AND(Simulador!$T$67=2,Simulador!$T$61=1),AL84,IF(AND(Simulador!$T$67=2,Simulador!$T$61=2),AM84,IF(AND(Simulador!$T$67=2,Simulador!$T$61=3),AN84,AO84)))</f>
        <v>0.092</v>
      </c>
      <c r="AS84" s="281"/>
      <c r="AT84" s="70">
        <f t="shared" si="30"/>
        <v>0</v>
      </c>
      <c r="AU84" s="70">
        <f t="shared" si="64"/>
        <v>0</v>
      </c>
      <c r="AV84" s="71">
        <f t="shared" si="53"/>
        <v>0</v>
      </c>
      <c r="AW84" s="70">
        <f t="shared" si="54"/>
        <v>0</v>
      </c>
      <c r="AX84" s="70">
        <f t="shared" si="65"/>
        <v>0</v>
      </c>
      <c r="AY84" s="72">
        <f t="shared" si="55"/>
      </c>
      <c r="AZ84" s="70">
        <f>_xlfn.IFERROR(IF(Simulador!$U$29=1,0,IF($AT84&lt;=0.01,0,$AT84*Simulador!$AA$42)),0)+_xlfn.IFERROR(IF(Simulador!$U$29=1,0,IF($AT84&lt;=0.01,0,IF(Simulador!$D$22&gt;0,Simulador!$D$22,Simulador!$O$24)*Simulador!$AA$43)),0)</f>
        <v>0</v>
      </c>
      <c r="BA84" s="73"/>
      <c r="BB84" s="70">
        <f t="shared" si="56"/>
        <v>0</v>
      </c>
      <c r="BC84">
        <f t="shared" si="66"/>
        <v>0</v>
      </c>
      <c r="BD84" s="431">
        <f t="shared" si="67"/>
      </c>
      <c r="BE84" s="432">
        <f t="shared" si="68"/>
        <v>0</v>
      </c>
      <c r="BF84" s="69">
        <v>70</v>
      </c>
      <c r="BG84" s="38"/>
      <c r="BH84" s="438"/>
      <c r="BJ84" s="69"/>
      <c r="BM84" s="432"/>
    </row>
    <row r="85" spans="1:65" ht="12">
      <c r="A85" s="531">
        <v>71</v>
      </c>
      <c r="B85" s="106">
        <f t="shared" si="69"/>
        <v>0</v>
      </c>
      <c r="C85" s="106"/>
      <c r="D85" s="107">
        <f>IF(B85+F85-D84&lt;=0,B85+F85,IF(AND(OR(Simulador!$U$38=2,Simulador!$U$38=7),J84=0),D84*(1+AA85),IF($AE$3=2,B85*AQ85,D84*(1+AA85))))</f>
        <v>0</v>
      </c>
      <c r="E85" s="107"/>
      <c r="F85" s="107">
        <f t="shared" si="50"/>
        <v>0</v>
      </c>
      <c r="G85" s="107"/>
      <c r="H85" s="107">
        <f t="shared" si="70"/>
        <v>0</v>
      </c>
      <c r="I85" s="108"/>
      <c r="J85" s="109"/>
      <c r="K85" s="108"/>
      <c r="L85" s="107">
        <f>IF(Simulador!$T$40=1,0,J85*Simulador!$W$38*1.16)</f>
        <v>0</v>
      </c>
      <c r="M85" s="107"/>
      <c r="N85" s="111"/>
      <c r="O85" s="13"/>
      <c r="P85" s="664">
        <f t="shared" si="51"/>
      </c>
      <c r="Q85" s="3"/>
      <c r="R85" s="107">
        <f t="shared" si="57"/>
        <v>0</v>
      </c>
      <c r="S85" s="107"/>
      <c r="T85" s="107">
        <f>_xlfn.IFERROR(IF(Simulador!$U$29=1,0,IF($B85&lt;=0,0,$B85*Simulador!$AA$42)),0)</f>
        <v>0</v>
      </c>
      <c r="U85" s="107"/>
      <c r="V85" s="107">
        <f>_xlfn.IFERROR(IF(Simulador!$U$29=1,0,IF($B85&lt;=0,0,IF(Simulador!$D$22&gt;0,Simulador!$D$22,Simulador!$O$24)*Simulador!$AA$43)),0)</f>
        <v>0</v>
      </c>
      <c r="W85" s="107"/>
      <c r="X85" s="107"/>
      <c r="Y85" s="107">
        <f t="shared" si="52"/>
        <v>0</v>
      </c>
      <c r="Z85" s="14"/>
      <c r="AA85" s="19"/>
      <c r="AB85" s="24"/>
      <c r="AC85" s="303">
        <v>5</v>
      </c>
      <c r="AD85" s="295">
        <v>11</v>
      </c>
      <c r="AE85" s="400">
        <f t="shared" si="58"/>
        <v>0</v>
      </c>
      <c r="AF85" s="279">
        <f t="shared" si="59"/>
        <v>0</v>
      </c>
      <c r="AG85" s="279">
        <f t="shared" si="60"/>
        <v>0</v>
      </c>
      <c r="AH85" s="418">
        <f t="shared" si="61"/>
        <v>0</v>
      </c>
      <c r="AI85" s="296">
        <f>IF(Simulador!$T$67=1,'Tabla de amortizacion'!AJ85,'Tabla de amortizacion'!AR85)</f>
        <v>0.0925</v>
      </c>
      <c r="AJ85" s="297">
        <f t="shared" si="49"/>
        <v>0.0925</v>
      </c>
      <c r="AK85" s="298">
        <f t="shared" si="62"/>
        <v>0</v>
      </c>
      <c r="AL85" s="297">
        <f t="shared" si="45"/>
        <v>0.092</v>
      </c>
      <c r="AM85" s="297">
        <f t="shared" si="46"/>
        <v>0.092</v>
      </c>
      <c r="AN85" s="520">
        <f t="shared" si="47"/>
        <v>0.092</v>
      </c>
      <c r="AO85" s="520">
        <f t="shared" si="48"/>
        <v>0.092</v>
      </c>
      <c r="AP85" s="299">
        <v>0</v>
      </c>
      <c r="AQ85" s="414">
        <f t="shared" si="63"/>
        <v>0</v>
      </c>
      <c r="AR85" s="300">
        <f>IF(AND(Simulador!$T$67=2,Simulador!$T$61=1),AL85,IF(AND(Simulador!$T$67=2,Simulador!$T$61=2),AM85,IF(AND(Simulador!$T$67=2,Simulador!$T$61=3),AN85,AO85)))</f>
        <v>0.092</v>
      </c>
      <c r="AS85" s="281"/>
      <c r="AT85" s="70">
        <f t="shared" si="30"/>
        <v>0</v>
      </c>
      <c r="AU85" s="70">
        <f t="shared" si="64"/>
        <v>0</v>
      </c>
      <c r="AV85" s="71">
        <f t="shared" si="53"/>
        <v>0</v>
      </c>
      <c r="AW85" s="70">
        <f t="shared" si="54"/>
        <v>0</v>
      </c>
      <c r="AX85" s="70">
        <f t="shared" si="65"/>
        <v>0</v>
      </c>
      <c r="AY85" s="72">
        <f t="shared" si="55"/>
      </c>
      <c r="AZ85" s="70">
        <f>_xlfn.IFERROR(IF(Simulador!$U$29=1,0,IF($AT85&lt;=0.01,0,$AT85*Simulador!$AA$42)),0)+_xlfn.IFERROR(IF(Simulador!$U$29=1,0,IF($AT85&lt;=0.01,0,IF(Simulador!$D$22&gt;0,Simulador!$D$22,Simulador!$O$24)*Simulador!$AA$43)),0)</f>
        <v>0</v>
      </c>
      <c r="BA85" s="73"/>
      <c r="BB85" s="70">
        <f t="shared" si="56"/>
        <v>0</v>
      </c>
      <c r="BC85">
        <f t="shared" si="66"/>
        <v>0</v>
      </c>
      <c r="BD85" s="431">
        <f t="shared" si="67"/>
      </c>
      <c r="BE85" s="432">
        <f t="shared" si="68"/>
        <v>0</v>
      </c>
      <c r="BF85" s="69">
        <v>71</v>
      </c>
      <c r="BG85" s="38"/>
      <c r="BH85" s="438"/>
      <c r="BJ85" s="69"/>
      <c r="BM85" s="432"/>
    </row>
    <row r="86" spans="1:65" ht="12">
      <c r="A86" s="531">
        <v>72</v>
      </c>
      <c r="B86" s="106">
        <f t="shared" si="69"/>
        <v>0</v>
      </c>
      <c r="C86" s="106"/>
      <c r="D86" s="107">
        <f>IF(B86+F86-D85&lt;=0,B86+F86,IF(AND(OR(Simulador!$U$38=2,Simulador!$U$38=7),J85=0),D85*(1+AA86),IF($AE$3=2,B86*AQ86,D85*(1+AA86))))</f>
        <v>0</v>
      </c>
      <c r="E86" s="107"/>
      <c r="F86" s="107">
        <f t="shared" si="50"/>
        <v>0</v>
      </c>
      <c r="G86" s="107"/>
      <c r="H86" s="107">
        <f t="shared" si="70"/>
        <v>0</v>
      </c>
      <c r="I86" s="108"/>
      <c r="J86" s="109"/>
      <c r="K86" s="108"/>
      <c r="L86" s="107">
        <f>IF(Simulador!$T$40=1,0,J86*Simulador!$W$38*1.16)</f>
        <v>0</v>
      </c>
      <c r="M86" s="107"/>
      <c r="N86" s="110">
        <f>IF(B86-H86=0,0,N84)</f>
        <v>0</v>
      </c>
      <c r="O86" s="13"/>
      <c r="P86" s="664">
        <f t="shared" si="51"/>
      </c>
      <c r="Q86" s="3"/>
      <c r="R86" s="107">
        <f t="shared" si="57"/>
        <v>0</v>
      </c>
      <c r="S86" s="107"/>
      <c r="T86" s="107">
        <f>_xlfn.IFERROR(IF(Simulador!$U$29=1,0,IF($B86&lt;=0,0,$B86*Simulador!$AA$42)),0)</f>
        <v>0</v>
      </c>
      <c r="U86" s="107"/>
      <c r="V86" s="107">
        <f>_xlfn.IFERROR(IF(Simulador!$U$29=1,0,IF($B86&lt;=0,0,IF(Simulador!$D$22&gt;0,Simulador!$D$22,Simulador!$O$24)*Simulador!$AA$43)),0)</f>
        <v>0</v>
      </c>
      <c r="W86" s="107"/>
      <c r="X86" s="107"/>
      <c r="Y86" s="107">
        <f t="shared" si="52"/>
        <v>0</v>
      </c>
      <c r="Z86" s="14"/>
      <c r="AA86" s="19"/>
      <c r="AB86" s="24"/>
      <c r="AC86" s="303">
        <v>6</v>
      </c>
      <c r="AD86" s="295">
        <v>0</v>
      </c>
      <c r="AE86" s="400">
        <f t="shared" si="58"/>
        <v>0</v>
      </c>
      <c r="AF86" s="279">
        <f t="shared" si="59"/>
        <v>0</v>
      </c>
      <c r="AG86" s="279">
        <f t="shared" si="60"/>
        <v>0</v>
      </c>
      <c r="AH86" s="418">
        <f t="shared" si="61"/>
        <v>0</v>
      </c>
      <c r="AI86" s="296">
        <f>IF(Simulador!$T$67=1,'Tabla de amortizacion'!AJ86,'Tabla de amortizacion'!AR86)</f>
        <v>0.0925</v>
      </c>
      <c r="AJ86" s="297">
        <f t="shared" si="49"/>
        <v>0.0925</v>
      </c>
      <c r="AK86" s="298">
        <f t="shared" si="62"/>
        <v>0</v>
      </c>
      <c r="AL86" s="297">
        <f t="shared" si="45"/>
        <v>0.092</v>
      </c>
      <c r="AM86" s="297">
        <f t="shared" si="46"/>
        <v>0.092</v>
      </c>
      <c r="AN86" s="520">
        <f t="shared" si="47"/>
        <v>0.092</v>
      </c>
      <c r="AO86" s="520">
        <f t="shared" si="48"/>
        <v>0.092</v>
      </c>
      <c r="AP86" s="299">
        <v>0</v>
      </c>
      <c r="AQ86" s="414">
        <f t="shared" si="63"/>
        <v>0</v>
      </c>
      <c r="AR86" s="300">
        <f>IF(AND(Simulador!$T$67=2,Simulador!$T$61=1),AL86,IF(AND(Simulador!$T$67=2,Simulador!$T$61=2),AM86,IF(AND(Simulador!$T$67=2,Simulador!$T$61=3),AN86,AO86)))</f>
        <v>0.092</v>
      </c>
      <c r="AS86" s="281"/>
      <c r="AT86" s="70">
        <f t="shared" si="30"/>
        <v>0</v>
      </c>
      <c r="AU86" s="70">
        <f t="shared" si="64"/>
        <v>0</v>
      </c>
      <c r="AV86" s="71">
        <f t="shared" si="53"/>
        <v>0</v>
      </c>
      <c r="AW86" s="70">
        <f t="shared" si="54"/>
        <v>0</v>
      </c>
      <c r="AX86" s="70">
        <f t="shared" si="65"/>
        <v>0</v>
      </c>
      <c r="AY86" s="72">
        <f t="shared" si="55"/>
      </c>
      <c r="AZ86" s="70">
        <f>_xlfn.IFERROR(IF(Simulador!$U$29=1,0,IF($AT86&lt;=0.01,0,$AT86*Simulador!$AA$42)),0)+_xlfn.IFERROR(IF(Simulador!$U$29=1,0,IF($AT86&lt;=0.01,0,IF(Simulador!$D$22&gt;0,Simulador!$D$22,Simulador!$O$24)*Simulador!$AA$43)),0)</f>
        <v>0</v>
      </c>
      <c r="BA86" s="73"/>
      <c r="BB86" s="70">
        <f t="shared" si="56"/>
        <v>0</v>
      </c>
      <c r="BC86">
        <f t="shared" si="66"/>
        <v>0</v>
      </c>
      <c r="BD86" s="431">
        <f t="shared" si="67"/>
      </c>
      <c r="BE86" s="432">
        <f t="shared" si="68"/>
        <v>0</v>
      </c>
      <c r="BF86" s="69">
        <v>72</v>
      </c>
      <c r="BG86" s="38"/>
      <c r="BH86" s="438"/>
      <c r="BJ86" s="69"/>
      <c r="BM86" s="432"/>
    </row>
    <row r="87" spans="1:65" ht="12">
      <c r="A87" s="531">
        <v>73</v>
      </c>
      <c r="B87" s="106">
        <f t="shared" si="69"/>
        <v>0</v>
      </c>
      <c r="C87" s="106"/>
      <c r="D87" s="107">
        <f>IF(B87+F87-D86&lt;=0,B87+F87,IF(AND(OR(Simulador!$U$38=2,Simulador!$U$38=7),J86=0),D86*(1+AA87),IF($AE$3=2,B87*AQ87,D86*(1+AA87))))</f>
        <v>0</v>
      </c>
      <c r="E87" s="107"/>
      <c r="F87" s="107">
        <f t="shared" si="50"/>
        <v>0</v>
      </c>
      <c r="G87" s="107"/>
      <c r="H87" s="107">
        <f t="shared" si="70"/>
        <v>0</v>
      </c>
      <c r="I87" s="108"/>
      <c r="J87" s="109"/>
      <c r="K87" s="108"/>
      <c r="L87" s="107">
        <f>IF(Simulador!$T$40=1,0,J87*Simulador!$W$38*1.16)</f>
        <v>0</v>
      </c>
      <c r="M87" s="107"/>
      <c r="N87" s="111"/>
      <c r="O87" s="13"/>
      <c r="P87" s="664">
        <f t="shared" si="51"/>
      </c>
      <c r="Q87" s="3"/>
      <c r="R87" s="107">
        <f t="shared" si="57"/>
        <v>0</v>
      </c>
      <c r="S87" s="107"/>
      <c r="T87" s="107">
        <f>_xlfn.IFERROR(IF(Simulador!$U$29=1,0,IF($B87&lt;=0,0,$B87*Simulador!$AA$42)),0)</f>
        <v>0</v>
      </c>
      <c r="U87" s="107"/>
      <c r="V87" s="107">
        <f>_xlfn.IFERROR(IF(Simulador!$U$29=1,0,IF($B87&lt;=0,0,IF(Simulador!$D$22&gt;0,Simulador!$D$22,Simulador!$O$24)*Simulador!$AA$43)),0)</f>
        <v>0</v>
      </c>
      <c r="W87" s="107"/>
      <c r="X87" s="107"/>
      <c r="Y87" s="107">
        <f t="shared" si="52"/>
        <v>0</v>
      </c>
      <c r="Z87" s="14"/>
      <c r="AA87" s="19">
        <f>IF(B87&lt;=0,0,Simulador!$I$42)</f>
        <v>0</v>
      </c>
      <c r="AB87" s="24"/>
      <c r="AC87" s="303">
        <v>6</v>
      </c>
      <c r="AD87" s="295">
        <v>1</v>
      </c>
      <c r="AE87" s="400">
        <f t="shared" si="58"/>
        <v>0</v>
      </c>
      <c r="AF87" s="279">
        <f t="shared" si="59"/>
        <v>0</v>
      </c>
      <c r="AG87" s="279">
        <f t="shared" si="60"/>
        <v>0</v>
      </c>
      <c r="AH87" s="418">
        <f t="shared" si="61"/>
        <v>0</v>
      </c>
      <c r="AI87" s="296">
        <f>IF(Simulador!$T$67=1,'Tabla de amortizacion'!AJ87,'Tabla de amortizacion'!AR87)</f>
        <v>0.09</v>
      </c>
      <c r="AJ87" s="297">
        <f>IF(AJ86=$AM$4,AJ86,IF(AJ86-0.25%&lt;=$AM$4,$AM$4,AJ86-0.25%))</f>
        <v>0.09</v>
      </c>
      <c r="AK87" s="298">
        <f t="shared" si="62"/>
        <v>0</v>
      </c>
      <c r="AL87" s="297">
        <f t="shared" si="45"/>
        <v>0.092</v>
      </c>
      <c r="AM87" s="297">
        <f t="shared" si="46"/>
        <v>0.092</v>
      </c>
      <c r="AN87" s="520">
        <f t="shared" si="47"/>
        <v>0.092</v>
      </c>
      <c r="AO87" s="520">
        <f t="shared" si="48"/>
        <v>0.092</v>
      </c>
      <c r="AP87" s="299">
        <v>0</v>
      </c>
      <c r="AQ87" s="414">
        <f t="shared" si="63"/>
        <v>0</v>
      </c>
      <c r="AR87" s="300">
        <f>IF(AND(Simulador!$T$67=2,Simulador!$T$61=1),AL87,IF(AND(Simulador!$T$67=2,Simulador!$T$61=2),AM87,IF(AND(Simulador!$T$67=2,Simulador!$T$61=3),AN87,AO87)))</f>
        <v>0.092</v>
      </c>
      <c r="AS87" s="281"/>
      <c r="AT87" s="70">
        <f t="shared" si="30"/>
        <v>0</v>
      </c>
      <c r="AU87" s="70">
        <f t="shared" si="64"/>
        <v>0</v>
      </c>
      <c r="AV87" s="71">
        <f t="shared" si="53"/>
        <v>0</v>
      </c>
      <c r="AW87" s="70">
        <f t="shared" si="54"/>
        <v>0</v>
      </c>
      <c r="AX87" s="70">
        <f t="shared" si="65"/>
        <v>0</v>
      </c>
      <c r="AY87" s="72">
        <f t="shared" si="55"/>
      </c>
      <c r="AZ87" s="70">
        <f>_xlfn.IFERROR(IF(Simulador!$U$29=1,0,IF($AT87&lt;=0.01,0,$AT87*Simulador!$AA$42)),0)+_xlfn.IFERROR(IF(Simulador!$U$29=1,0,IF($AT87&lt;=0.01,0,IF(Simulador!$D$22&gt;0,Simulador!$D$22,Simulador!$O$24)*Simulador!$AA$43)),0)</f>
        <v>0</v>
      </c>
      <c r="BA87" s="73">
        <f>IF(AT87&lt;=0,0,$BA$27)</f>
        <v>0</v>
      </c>
      <c r="BB87" s="70">
        <f t="shared" si="56"/>
        <v>0</v>
      </c>
      <c r="BC87">
        <f t="shared" si="66"/>
        <v>0</v>
      </c>
      <c r="BD87" s="431">
        <f t="shared" si="67"/>
      </c>
      <c r="BE87" s="432">
        <f t="shared" si="68"/>
        <v>0</v>
      </c>
      <c r="BF87" s="69">
        <v>73</v>
      </c>
      <c r="BG87" s="38"/>
      <c r="BH87" s="438"/>
      <c r="BJ87" s="69"/>
      <c r="BM87" s="432"/>
    </row>
    <row r="88" spans="1:65" ht="12">
      <c r="A88" s="531">
        <v>74</v>
      </c>
      <c r="B88" s="106">
        <f t="shared" si="69"/>
        <v>0</v>
      </c>
      <c r="C88" s="106"/>
      <c r="D88" s="107">
        <f>IF(B88+F88-D87&lt;=0,B88+F88,IF(AND(OR(Simulador!$U$38=2,Simulador!$U$38=7),J87=0),D87*(1+AA88),IF($AE$3=2,B88*AQ88,D87*(1+AA88))))</f>
        <v>0</v>
      </c>
      <c r="E88" s="107"/>
      <c r="F88" s="107">
        <f t="shared" si="50"/>
        <v>0</v>
      </c>
      <c r="G88" s="107"/>
      <c r="H88" s="107">
        <f t="shared" si="70"/>
        <v>0</v>
      </c>
      <c r="I88" s="108"/>
      <c r="J88" s="109"/>
      <c r="K88" s="108"/>
      <c r="L88" s="107">
        <f>IF(Simulador!$T$40=1,0,J88*Simulador!$W$38*1.16)</f>
        <v>0</v>
      </c>
      <c r="M88" s="107"/>
      <c r="N88" s="110">
        <f>IF(B88-H88=0,0,N86*(1+(Simulador!$AF$76)))</f>
        <v>0</v>
      </c>
      <c r="O88" s="13"/>
      <c r="P88" s="664">
        <f t="shared" si="51"/>
      </c>
      <c r="Q88" s="3"/>
      <c r="R88" s="107">
        <f t="shared" si="57"/>
        <v>0</v>
      </c>
      <c r="S88" s="107"/>
      <c r="T88" s="107">
        <f>_xlfn.IFERROR(IF(Simulador!$U$29=1,0,IF($B88&lt;=0,0,$B88*Simulador!$AA$42)),0)</f>
        <v>0</v>
      </c>
      <c r="U88" s="107"/>
      <c r="V88" s="107">
        <f>_xlfn.IFERROR(IF(Simulador!$U$29=1,0,IF($B88&lt;=0,0,IF(Simulador!$D$22&gt;0,Simulador!$D$22,Simulador!$O$24)*Simulador!$AA$43)),0)</f>
        <v>0</v>
      </c>
      <c r="W88" s="107"/>
      <c r="X88" s="107"/>
      <c r="Y88" s="107">
        <f t="shared" si="52"/>
        <v>0</v>
      </c>
      <c r="Z88" s="14"/>
      <c r="AA88" s="19"/>
      <c r="AB88" s="24"/>
      <c r="AC88" s="303">
        <v>6</v>
      </c>
      <c r="AD88" s="301">
        <v>2</v>
      </c>
      <c r="AE88" s="400">
        <f t="shared" si="58"/>
        <v>0</v>
      </c>
      <c r="AF88" s="279">
        <f t="shared" si="59"/>
        <v>0</v>
      </c>
      <c r="AG88" s="279">
        <f t="shared" si="60"/>
        <v>0</v>
      </c>
      <c r="AH88" s="418">
        <f t="shared" si="61"/>
        <v>0</v>
      </c>
      <c r="AI88" s="296">
        <f>IF(Simulador!$T$67=1,'Tabla de amortizacion'!AJ88,'Tabla de amortizacion'!AR88)</f>
        <v>0.09</v>
      </c>
      <c r="AJ88" s="297">
        <f>AJ87</f>
        <v>0.09</v>
      </c>
      <c r="AK88" s="298">
        <f t="shared" si="62"/>
        <v>0</v>
      </c>
      <c r="AL88" s="297">
        <f t="shared" si="45"/>
        <v>0.092</v>
      </c>
      <c r="AM88" s="297">
        <f t="shared" si="46"/>
        <v>0.092</v>
      </c>
      <c r="AN88" s="520">
        <f t="shared" si="47"/>
        <v>0.092</v>
      </c>
      <c r="AO88" s="520">
        <f t="shared" si="48"/>
        <v>0.092</v>
      </c>
      <c r="AP88" s="299">
        <v>0</v>
      </c>
      <c r="AQ88" s="414">
        <f t="shared" si="63"/>
        <v>0</v>
      </c>
      <c r="AR88" s="300">
        <f>IF(AND(Simulador!$T$67=2,Simulador!$T$61=1),AL88,IF(AND(Simulador!$T$67=2,Simulador!$T$61=2),AM88,IF(AND(Simulador!$T$67=2,Simulador!$T$61=3),AN88,AO88)))</f>
        <v>0.092</v>
      </c>
      <c r="AS88" s="281"/>
      <c r="AT88" s="70">
        <f t="shared" si="30"/>
        <v>0</v>
      </c>
      <c r="AU88" s="70">
        <f t="shared" si="64"/>
        <v>0</v>
      </c>
      <c r="AV88" s="71">
        <f t="shared" si="53"/>
        <v>0</v>
      </c>
      <c r="AW88" s="70">
        <f t="shared" si="54"/>
        <v>0</v>
      </c>
      <c r="AX88" s="70">
        <f t="shared" si="65"/>
        <v>0</v>
      </c>
      <c r="AY88" s="72">
        <f t="shared" si="55"/>
      </c>
      <c r="AZ88" s="70">
        <f>_xlfn.IFERROR(IF(Simulador!$U$29=1,0,IF($AT88&lt;=0.01,0,$AT88*Simulador!$AA$42)),0)+_xlfn.IFERROR(IF(Simulador!$U$29=1,0,IF($AT88&lt;=0.01,0,IF(Simulador!$D$22&gt;0,Simulador!$D$22,Simulador!$O$24)*Simulador!$AA$43)),0)</f>
        <v>0</v>
      </c>
      <c r="BA88" s="73"/>
      <c r="BB88" s="70">
        <f t="shared" si="56"/>
        <v>0</v>
      </c>
      <c r="BC88">
        <f t="shared" si="66"/>
        <v>0</v>
      </c>
      <c r="BD88" s="431">
        <f t="shared" si="67"/>
      </c>
      <c r="BE88" s="432">
        <f t="shared" si="68"/>
        <v>0</v>
      </c>
      <c r="BF88" s="69">
        <v>74</v>
      </c>
      <c r="BG88" s="38"/>
      <c r="BH88" s="438"/>
      <c r="BJ88" s="69"/>
      <c r="BM88" s="432"/>
    </row>
    <row r="89" spans="1:65" ht="12">
      <c r="A89" s="531">
        <v>75</v>
      </c>
      <c r="B89" s="106">
        <f t="shared" si="69"/>
        <v>0</v>
      </c>
      <c r="C89" s="106"/>
      <c r="D89" s="107">
        <f>IF(B89+F89-D88&lt;=0,B89+F89,IF(AND(OR(Simulador!$U$38=2,Simulador!$U$38=7),J88=0),D88*(1+AA89),IF($AE$3=2,B89*AQ89,D88*(1+AA89))))</f>
        <v>0</v>
      </c>
      <c r="E89" s="107"/>
      <c r="F89" s="107">
        <f t="shared" si="50"/>
        <v>0</v>
      </c>
      <c r="G89" s="107"/>
      <c r="H89" s="107">
        <f t="shared" si="70"/>
        <v>0</v>
      </c>
      <c r="I89" s="108"/>
      <c r="J89" s="109"/>
      <c r="K89" s="108"/>
      <c r="L89" s="107">
        <f>IF(Simulador!$T$40=1,0,J89*Simulador!$W$38*1.16)</f>
        <v>0</v>
      </c>
      <c r="M89" s="107"/>
      <c r="N89" s="111"/>
      <c r="O89" s="13"/>
      <c r="P89" s="664">
        <f t="shared" si="51"/>
      </c>
      <c r="Q89" s="3"/>
      <c r="R89" s="107">
        <f t="shared" si="57"/>
        <v>0</v>
      </c>
      <c r="S89" s="107"/>
      <c r="T89" s="107">
        <f>_xlfn.IFERROR(IF(Simulador!$U$29=1,0,IF($B89&lt;=0,0,$B89*Simulador!$AA$42)),0)</f>
        <v>0</v>
      </c>
      <c r="U89" s="107"/>
      <c r="V89" s="107">
        <f>_xlfn.IFERROR(IF(Simulador!$U$29=1,0,IF($B89&lt;=0,0,IF(Simulador!$D$22&gt;0,Simulador!$D$22,Simulador!$O$24)*Simulador!$AA$43)),0)</f>
        <v>0</v>
      </c>
      <c r="W89" s="107"/>
      <c r="X89" s="107"/>
      <c r="Y89" s="107">
        <f t="shared" si="52"/>
        <v>0</v>
      </c>
      <c r="Z89" s="14"/>
      <c r="AA89" s="19"/>
      <c r="AB89" s="24"/>
      <c r="AC89" s="303">
        <v>6</v>
      </c>
      <c r="AD89" s="301">
        <v>3</v>
      </c>
      <c r="AE89" s="400">
        <f t="shared" si="58"/>
        <v>0</v>
      </c>
      <c r="AF89" s="279">
        <f t="shared" si="59"/>
        <v>0</v>
      </c>
      <c r="AG89" s="279">
        <f t="shared" si="60"/>
        <v>0</v>
      </c>
      <c r="AH89" s="418">
        <f t="shared" si="61"/>
        <v>0</v>
      </c>
      <c r="AI89" s="296">
        <f>IF(Simulador!$T$67=1,'Tabla de amortizacion'!AJ89,'Tabla de amortizacion'!AR89)</f>
        <v>0.09</v>
      </c>
      <c r="AJ89" s="297">
        <f aca="true" t="shared" si="71" ref="AJ89:AJ98">AJ88</f>
        <v>0.09</v>
      </c>
      <c r="AK89" s="298">
        <f t="shared" si="62"/>
        <v>0</v>
      </c>
      <c r="AL89" s="297">
        <f t="shared" si="45"/>
        <v>0.092</v>
      </c>
      <c r="AM89" s="297">
        <f t="shared" si="46"/>
        <v>0.092</v>
      </c>
      <c r="AN89" s="520">
        <f t="shared" si="47"/>
        <v>0.092</v>
      </c>
      <c r="AO89" s="520">
        <f t="shared" si="48"/>
        <v>0.092</v>
      </c>
      <c r="AP89" s="299">
        <v>0</v>
      </c>
      <c r="AQ89" s="414">
        <f t="shared" si="63"/>
        <v>0</v>
      </c>
      <c r="AR89" s="300">
        <f>IF(AND(Simulador!$T$67=2,Simulador!$T$61=1),AL89,IF(AND(Simulador!$T$67=2,Simulador!$T$61=2),AM89,IF(AND(Simulador!$T$67=2,Simulador!$T$61=3),AN89,AO89)))</f>
        <v>0.092</v>
      </c>
      <c r="AS89" s="281"/>
      <c r="AT89" s="70">
        <f t="shared" si="30"/>
        <v>0</v>
      </c>
      <c r="AU89" s="70">
        <f t="shared" si="64"/>
        <v>0</v>
      </c>
      <c r="AV89" s="71">
        <f t="shared" si="53"/>
        <v>0</v>
      </c>
      <c r="AW89" s="70">
        <f t="shared" si="54"/>
        <v>0</v>
      </c>
      <c r="AX89" s="70">
        <f t="shared" si="65"/>
        <v>0</v>
      </c>
      <c r="AY89" s="72">
        <f t="shared" si="55"/>
      </c>
      <c r="AZ89" s="70">
        <f>_xlfn.IFERROR(IF(Simulador!$U$29=1,0,IF($AT89&lt;=0.01,0,$AT89*Simulador!$AA$42)),0)+_xlfn.IFERROR(IF(Simulador!$U$29=1,0,IF($AT89&lt;=0.01,0,IF(Simulador!$D$22&gt;0,Simulador!$D$22,Simulador!$O$24)*Simulador!$AA$43)),0)</f>
        <v>0</v>
      </c>
      <c r="BA89" s="73"/>
      <c r="BB89" s="70">
        <f t="shared" si="56"/>
        <v>0</v>
      </c>
      <c r="BC89">
        <f t="shared" si="66"/>
        <v>0</v>
      </c>
      <c r="BD89" s="431">
        <f t="shared" si="67"/>
      </c>
      <c r="BE89" s="432">
        <f t="shared" si="68"/>
        <v>0</v>
      </c>
      <c r="BF89" s="69">
        <v>75</v>
      </c>
      <c r="BG89" s="38"/>
      <c r="BH89" s="438"/>
      <c r="BJ89" s="69"/>
      <c r="BM89" s="432"/>
    </row>
    <row r="90" spans="1:65" ht="12">
      <c r="A90" s="531">
        <v>76</v>
      </c>
      <c r="B90" s="106">
        <f t="shared" si="69"/>
        <v>0</v>
      </c>
      <c r="C90" s="106"/>
      <c r="D90" s="107">
        <f>IF(B90+F90-D89&lt;=0,B90+F90,IF(AND(OR(Simulador!$U$38=2,Simulador!$U$38=7),J89=0),D89*(1+AA90),IF($AE$3=2,B90*AQ90,D89*(1+AA90))))</f>
        <v>0</v>
      </c>
      <c r="E90" s="107"/>
      <c r="F90" s="107">
        <f t="shared" si="50"/>
        <v>0</v>
      </c>
      <c r="G90" s="107"/>
      <c r="H90" s="107">
        <f t="shared" si="70"/>
        <v>0</v>
      </c>
      <c r="I90" s="108"/>
      <c r="J90" s="109"/>
      <c r="K90" s="108"/>
      <c r="L90" s="107">
        <f>IF(Simulador!$T$40=1,0,J90*Simulador!$W$38*1.16)</f>
        <v>0</v>
      </c>
      <c r="M90" s="107"/>
      <c r="N90" s="110">
        <f>IF(B90-H90=0,0,N88)</f>
        <v>0</v>
      </c>
      <c r="O90" s="13"/>
      <c r="P90" s="664">
        <f t="shared" si="51"/>
      </c>
      <c r="Q90" s="3"/>
      <c r="R90" s="107">
        <f t="shared" si="57"/>
        <v>0</v>
      </c>
      <c r="S90" s="107"/>
      <c r="T90" s="107">
        <f>_xlfn.IFERROR(IF(Simulador!$U$29=1,0,IF($B90&lt;=0,0,$B90*Simulador!$AA$42)),0)</f>
        <v>0</v>
      </c>
      <c r="U90" s="107"/>
      <c r="V90" s="107">
        <f>_xlfn.IFERROR(IF(Simulador!$U$29=1,0,IF($B90&lt;=0,0,IF(Simulador!$D$22&gt;0,Simulador!$D$22,Simulador!$O$24)*Simulador!$AA$43)),0)</f>
        <v>0</v>
      </c>
      <c r="W90" s="107"/>
      <c r="X90" s="107"/>
      <c r="Y90" s="107">
        <f t="shared" si="52"/>
        <v>0</v>
      </c>
      <c r="Z90" s="14"/>
      <c r="AA90" s="19"/>
      <c r="AB90" s="24"/>
      <c r="AC90" s="303">
        <v>6</v>
      </c>
      <c r="AD90" s="295">
        <v>4</v>
      </c>
      <c r="AE90" s="400">
        <f t="shared" si="58"/>
        <v>0</v>
      </c>
      <c r="AF90" s="279">
        <f t="shared" si="59"/>
        <v>0</v>
      </c>
      <c r="AG90" s="279">
        <f t="shared" si="60"/>
        <v>0</v>
      </c>
      <c r="AH90" s="418">
        <f t="shared" si="61"/>
        <v>0</v>
      </c>
      <c r="AI90" s="296">
        <f>IF(Simulador!$T$67=1,'Tabla de amortizacion'!AJ90,'Tabla de amortizacion'!AR90)</f>
        <v>0.09</v>
      </c>
      <c r="AJ90" s="297">
        <f t="shared" si="71"/>
        <v>0.09</v>
      </c>
      <c r="AK90" s="298">
        <f t="shared" si="62"/>
        <v>0</v>
      </c>
      <c r="AL90" s="297">
        <f t="shared" si="45"/>
        <v>0.092</v>
      </c>
      <c r="AM90" s="297">
        <f t="shared" si="46"/>
        <v>0.092</v>
      </c>
      <c r="AN90" s="520">
        <f t="shared" si="47"/>
        <v>0.092</v>
      </c>
      <c r="AO90" s="520">
        <f t="shared" si="48"/>
        <v>0.092</v>
      </c>
      <c r="AP90" s="299">
        <v>0</v>
      </c>
      <c r="AQ90" s="414">
        <f t="shared" si="63"/>
        <v>0</v>
      </c>
      <c r="AR90" s="300">
        <f>IF(AND(Simulador!$T$67=2,Simulador!$T$61=1),AL90,IF(AND(Simulador!$T$67=2,Simulador!$T$61=2),AM90,IF(AND(Simulador!$T$67=2,Simulador!$T$61=3),AN90,AO90)))</f>
        <v>0.092</v>
      </c>
      <c r="AS90" s="281"/>
      <c r="AT90" s="70">
        <f t="shared" si="30"/>
        <v>0</v>
      </c>
      <c r="AU90" s="70">
        <f t="shared" si="64"/>
        <v>0</v>
      </c>
      <c r="AV90" s="71">
        <f t="shared" si="53"/>
        <v>0</v>
      </c>
      <c r="AW90" s="70">
        <f t="shared" si="54"/>
        <v>0</v>
      </c>
      <c r="AX90" s="70">
        <f t="shared" si="65"/>
        <v>0</v>
      </c>
      <c r="AY90" s="72">
        <f t="shared" si="55"/>
      </c>
      <c r="AZ90" s="70">
        <f>_xlfn.IFERROR(IF(Simulador!$U$29=1,0,IF($AT90&lt;=0.01,0,$AT90*Simulador!$AA$42)),0)+_xlfn.IFERROR(IF(Simulador!$U$29=1,0,IF($AT90&lt;=0.01,0,IF(Simulador!$D$22&gt;0,Simulador!$D$22,Simulador!$O$24)*Simulador!$AA$43)),0)</f>
        <v>0</v>
      </c>
      <c r="BA90" s="73"/>
      <c r="BB90" s="70">
        <f t="shared" si="56"/>
        <v>0</v>
      </c>
      <c r="BC90">
        <f t="shared" si="66"/>
        <v>0</v>
      </c>
      <c r="BD90" s="431">
        <f t="shared" si="67"/>
      </c>
      <c r="BE90" s="432">
        <f t="shared" si="68"/>
        <v>0</v>
      </c>
      <c r="BF90" s="69">
        <v>76</v>
      </c>
      <c r="BG90" s="38"/>
      <c r="BH90" s="438"/>
      <c r="BJ90" s="69"/>
      <c r="BM90" s="432"/>
    </row>
    <row r="91" spans="1:65" ht="12">
      <c r="A91" s="531">
        <v>77</v>
      </c>
      <c r="B91" s="106">
        <f t="shared" si="69"/>
        <v>0</v>
      </c>
      <c r="C91" s="106"/>
      <c r="D91" s="107">
        <f>IF(B91+F91-D90&lt;=0,B91+F91,IF(AND(OR(Simulador!$U$38=2,Simulador!$U$38=7),J90=0),D90*(1+AA91),IF($AE$3=2,B91*AQ91,D90*(1+AA91))))</f>
        <v>0</v>
      </c>
      <c r="E91" s="107"/>
      <c r="F91" s="107">
        <f t="shared" si="50"/>
        <v>0</v>
      </c>
      <c r="G91" s="107"/>
      <c r="H91" s="107">
        <f t="shared" si="70"/>
        <v>0</v>
      </c>
      <c r="I91" s="108"/>
      <c r="J91" s="109"/>
      <c r="K91" s="108"/>
      <c r="L91" s="107">
        <f>IF(Simulador!$T$40=1,0,J91*Simulador!$W$38*1.16)</f>
        <v>0</v>
      </c>
      <c r="M91" s="107"/>
      <c r="N91" s="111"/>
      <c r="O91" s="13"/>
      <c r="P91" s="664">
        <f t="shared" si="51"/>
      </c>
      <c r="Q91" s="3"/>
      <c r="R91" s="107">
        <f t="shared" si="57"/>
        <v>0</v>
      </c>
      <c r="S91" s="107"/>
      <c r="T91" s="107">
        <f>_xlfn.IFERROR(IF(Simulador!$U$29=1,0,IF($B91&lt;=0,0,$B91*Simulador!$AA$42)),0)</f>
        <v>0</v>
      </c>
      <c r="U91" s="107"/>
      <c r="V91" s="107">
        <f>_xlfn.IFERROR(IF(Simulador!$U$29=1,0,IF($B91&lt;=0,0,IF(Simulador!$D$22&gt;0,Simulador!$D$22,Simulador!$O$24)*Simulador!$AA$43)),0)</f>
        <v>0</v>
      </c>
      <c r="W91" s="107"/>
      <c r="X91" s="107"/>
      <c r="Y91" s="107">
        <f t="shared" si="52"/>
        <v>0</v>
      </c>
      <c r="Z91" s="14"/>
      <c r="AA91" s="19"/>
      <c r="AB91" s="24"/>
      <c r="AC91" s="303">
        <v>6</v>
      </c>
      <c r="AD91" s="295">
        <v>5</v>
      </c>
      <c r="AE91" s="400">
        <f t="shared" si="58"/>
        <v>0</v>
      </c>
      <c r="AF91" s="279">
        <f t="shared" si="59"/>
        <v>0</v>
      </c>
      <c r="AG91" s="279">
        <f t="shared" si="60"/>
        <v>0</v>
      </c>
      <c r="AH91" s="418">
        <f t="shared" si="61"/>
        <v>0</v>
      </c>
      <c r="AI91" s="296">
        <f>IF(Simulador!$T$67=1,'Tabla de amortizacion'!AJ91,'Tabla de amortizacion'!AR91)</f>
        <v>0.09</v>
      </c>
      <c r="AJ91" s="297">
        <f t="shared" si="71"/>
        <v>0.09</v>
      </c>
      <c r="AK91" s="298">
        <f t="shared" si="62"/>
        <v>0</v>
      </c>
      <c r="AL91" s="297">
        <f t="shared" si="45"/>
        <v>0.092</v>
      </c>
      <c r="AM91" s="297">
        <f t="shared" si="46"/>
        <v>0.092</v>
      </c>
      <c r="AN91" s="520">
        <f t="shared" si="47"/>
        <v>0.092</v>
      </c>
      <c r="AO91" s="520">
        <f t="shared" si="48"/>
        <v>0.092</v>
      </c>
      <c r="AP91" s="299">
        <v>0</v>
      </c>
      <c r="AQ91" s="414">
        <f t="shared" si="63"/>
        <v>0</v>
      </c>
      <c r="AR91" s="300">
        <f>IF(AND(Simulador!$T$67=2,Simulador!$T$61=1),AL91,IF(AND(Simulador!$T$67=2,Simulador!$T$61=2),AM91,IF(AND(Simulador!$T$67=2,Simulador!$T$61=3),AN91,AO91)))</f>
        <v>0.092</v>
      </c>
      <c r="AS91" s="281"/>
      <c r="AT91" s="70">
        <f t="shared" si="30"/>
        <v>0</v>
      </c>
      <c r="AU91" s="70">
        <f t="shared" si="64"/>
        <v>0</v>
      </c>
      <c r="AV91" s="71">
        <f t="shared" si="53"/>
        <v>0</v>
      </c>
      <c r="AW91" s="70">
        <f t="shared" si="54"/>
        <v>0</v>
      </c>
      <c r="AX91" s="70">
        <f t="shared" si="65"/>
        <v>0</v>
      </c>
      <c r="AY91" s="72">
        <f t="shared" si="55"/>
      </c>
      <c r="AZ91" s="70">
        <f>_xlfn.IFERROR(IF(Simulador!$U$29=1,0,IF($AT91&lt;=0.01,0,$AT91*Simulador!$AA$42)),0)+_xlfn.IFERROR(IF(Simulador!$U$29=1,0,IF($AT91&lt;=0.01,0,IF(Simulador!$D$22&gt;0,Simulador!$D$22,Simulador!$O$24)*Simulador!$AA$43)),0)</f>
        <v>0</v>
      </c>
      <c r="BA91" s="73"/>
      <c r="BB91" s="70">
        <f t="shared" si="56"/>
        <v>0</v>
      </c>
      <c r="BC91">
        <f t="shared" si="66"/>
        <v>0</v>
      </c>
      <c r="BD91" s="431">
        <f t="shared" si="67"/>
      </c>
      <c r="BE91" s="432">
        <f t="shared" si="68"/>
        <v>0</v>
      </c>
      <c r="BF91" s="69">
        <v>77</v>
      </c>
      <c r="BG91" s="38"/>
      <c r="BH91" s="438"/>
      <c r="BJ91" s="69"/>
      <c r="BM91" s="432"/>
    </row>
    <row r="92" spans="1:65" ht="12">
      <c r="A92" s="531">
        <v>78</v>
      </c>
      <c r="B92" s="106">
        <f t="shared" si="69"/>
        <v>0</v>
      </c>
      <c r="C92" s="106"/>
      <c r="D92" s="107">
        <f>IF(B92+F92-D91&lt;=0,B92+F92,IF(AND(OR(Simulador!$U$38=2,Simulador!$U$38=7),J91=0),D91*(1+AA92),IF($AE$3=2,B92*AQ92,D91*(1+AA92))))</f>
        <v>0</v>
      </c>
      <c r="E92" s="107"/>
      <c r="F92" s="107">
        <f t="shared" si="50"/>
        <v>0</v>
      </c>
      <c r="G92" s="107"/>
      <c r="H92" s="107">
        <f t="shared" si="70"/>
        <v>0</v>
      </c>
      <c r="I92" s="108"/>
      <c r="J92" s="109"/>
      <c r="K92" s="108"/>
      <c r="L92" s="107">
        <f>IF(Simulador!$T$40=1,0,J92*Simulador!$W$38*1.16)</f>
        <v>0</v>
      </c>
      <c r="M92" s="107"/>
      <c r="N92" s="110">
        <f>IF(B92-H92=0,0,N90)</f>
        <v>0</v>
      </c>
      <c r="O92" s="13"/>
      <c r="P92" s="664">
        <f t="shared" si="51"/>
      </c>
      <c r="Q92" s="3"/>
      <c r="R92" s="107">
        <f t="shared" si="57"/>
        <v>0</v>
      </c>
      <c r="S92" s="107"/>
      <c r="T92" s="107">
        <f>_xlfn.IFERROR(IF(Simulador!$U$29=1,0,IF($B92&lt;=0,0,$B92*Simulador!$AA$42)),0)</f>
        <v>0</v>
      </c>
      <c r="U92" s="107"/>
      <c r="V92" s="107">
        <f>_xlfn.IFERROR(IF(Simulador!$U$29=1,0,IF($B92&lt;=0,0,IF(Simulador!$D$22&gt;0,Simulador!$D$22,Simulador!$O$24)*Simulador!$AA$43)),0)</f>
        <v>0</v>
      </c>
      <c r="W92" s="107"/>
      <c r="X92" s="107"/>
      <c r="Y92" s="107">
        <f t="shared" si="52"/>
        <v>0</v>
      </c>
      <c r="Z92" s="14"/>
      <c r="AA92" s="19"/>
      <c r="AB92" s="24"/>
      <c r="AC92" s="303">
        <v>6</v>
      </c>
      <c r="AD92" s="295">
        <v>6</v>
      </c>
      <c r="AE92" s="400">
        <f t="shared" si="58"/>
        <v>0</v>
      </c>
      <c r="AF92" s="279">
        <f t="shared" si="59"/>
        <v>0</v>
      </c>
      <c r="AG92" s="279">
        <f t="shared" si="60"/>
        <v>0</v>
      </c>
      <c r="AH92" s="418">
        <f t="shared" si="61"/>
        <v>0</v>
      </c>
      <c r="AI92" s="296">
        <f>IF(Simulador!$T$67=1,'Tabla de amortizacion'!AJ92,'Tabla de amortizacion'!AR92)</f>
        <v>0.09</v>
      </c>
      <c r="AJ92" s="297">
        <f t="shared" si="71"/>
        <v>0.09</v>
      </c>
      <c r="AK92" s="298">
        <f t="shared" si="62"/>
        <v>0</v>
      </c>
      <c r="AL92" s="297">
        <f t="shared" si="45"/>
        <v>0.092</v>
      </c>
      <c r="AM92" s="297">
        <f t="shared" si="46"/>
        <v>0.092</v>
      </c>
      <c r="AN92" s="520">
        <f t="shared" si="47"/>
        <v>0.092</v>
      </c>
      <c r="AO92" s="520">
        <f t="shared" si="48"/>
        <v>0.092</v>
      </c>
      <c r="AP92" s="299">
        <v>0</v>
      </c>
      <c r="AQ92" s="414">
        <f t="shared" si="63"/>
        <v>0</v>
      </c>
      <c r="AR92" s="300">
        <f>IF(AND(Simulador!$T$67=2,Simulador!$T$61=1),AL92,IF(AND(Simulador!$T$67=2,Simulador!$T$61=2),AM92,IF(AND(Simulador!$T$67=2,Simulador!$T$61=3),AN92,AO92)))</f>
        <v>0.092</v>
      </c>
      <c r="AS92" s="281"/>
      <c r="AT92" s="70">
        <f t="shared" si="30"/>
        <v>0</v>
      </c>
      <c r="AU92" s="70">
        <f t="shared" si="64"/>
        <v>0</v>
      </c>
      <c r="AV92" s="71">
        <f t="shared" si="53"/>
        <v>0</v>
      </c>
      <c r="AW92" s="70">
        <f t="shared" si="54"/>
        <v>0</v>
      </c>
      <c r="AX92" s="70">
        <f t="shared" si="65"/>
        <v>0</v>
      </c>
      <c r="AY92" s="72">
        <f t="shared" si="55"/>
      </c>
      <c r="AZ92" s="70">
        <f>_xlfn.IFERROR(IF(Simulador!$U$29=1,0,IF($AT92&lt;=0.01,0,$AT92*Simulador!$AA$42)),0)+_xlfn.IFERROR(IF(Simulador!$U$29=1,0,IF($AT92&lt;=0.01,0,IF(Simulador!$D$22&gt;0,Simulador!$D$22,Simulador!$O$24)*Simulador!$AA$43)),0)</f>
        <v>0</v>
      </c>
      <c r="BA92" s="73"/>
      <c r="BB92" s="70">
        <f t="shared" si="56"/>
        <v>0</v>
      </c>
      <c r="BC92">
        <f t="shared" si="66"/>
        <v>0</v>
      </c>
      <c r="BD92" s="431">
        <f t="shared" si="67"/>
      </c>
      <c r="BE92" s="432">
        <f t="shared" si="68"/>
        <v>0</v>
      </c>
      <c r="BF92" s="69">
        <v>78</v>
      </c>
      <c r="BG92" s="38"/>
      <c r="BH92" s="438"/>
      <c r="BJ92" s="69"/>
      <c r="BM92" s="432"/>
    </row>
    <row r="93" spans="1:65" ht="12">
      <c r="A93" s="531">
        <v>79</v>
      </c>
      <c r="B93" s="106">
        <f t="shared" si="69"/>
        <v>0</v>
      </c>
      <c r="C93" s="106"/>
      <c r="D93" s="107">
        <f>IF(B93+F93-D92&lt;=0,B93+F93,IF(AND(OR(Simulador!$U$38=2,Simulador!$U$38=7),J92=0),D92*(1+AA93),IF($AE$3=2,B93*AQ93,D92*(1+AA93))))</f>
        <v>0</v>
      </c>
      <c r="E93" s="107"/>
      <c r="F93" s="107">
        <f t="shared" si="50"/>
        <v>0</v>
      </c>
      <c r="G93" s="107"/>
      <c r="H93" s="107">
        <f t="shared" si="70"/>
        <v>0</v>
      </c>
      <c r="I93" s="108"/>
      <c r="J93" s="109"/>
      <c r="K93" s="108"/>
      <c r="L93" s="107">
        <f>IF(Simulador!$T$40=1,0,J93*Simulador!$W$38*1.16)</f>
        <v>0</v>
      </c>
      <c r="M93" s="107"/>
      <c r="N93" s="111"/>
      <c r="O93" s="13"/>
      <c r="P93" s="664">
        <f t="shared" si="51"/>
      </c>
      <c r="Q93" s="3"/>
      <c r="R93" s="107">
        <f t="shared" si="57"/>
        <v>0</v>
      </c>
      <c r="S93" s="107"/>
      <c r="T93" s="107">
        <f>_xlfn.IFERROR(IF(Simulador!$U$29=1,0,IF($B93&lt;=0,0,$B93*Simulador!$AA$42)),0)</f>
        <v>0</v>
      </c>
      <c r="U93" s="107"/>
      <c r="V93" s="107">
        <f>_xlfn.IFERROR(IF(Simulador!$U$29=1,0,IF($B93&lt;=0,0,IF(Simulador!$D$22&gt;0,Simulador!$D$22,Simulador!$O$24)*Simulador!$AA$43)),0)</f>
        <v>0</v>
      </c>
      <c r="W93" s="107"/>
      <c r="X93" s="107"/>
      <c r="Y93" s="107">
        <f t="shared" si="52"/>
        <v>0</v>
      </c>
      <c r="Z93" s="14"/>
      <c r="AA93" s="19"/>
      <c r="AB93" s="24"/>
      <c r="AC93" s="303">
        <v>6</v>
      </c>
      <c r="AD93" s="295">
        <v>7</v>
      </c>
      <c r="AE93" s="400">
        <f t="shared" si="58"/>
        <v>0</v>
      </c>
      <c r="AF93" s="279">
        <f t="shared" si="59"/>
        <v>0</v>
      </c>
      <c r="AG93" s="279">
        <f t="shared" si="60"/>
        <v>0</v>
      </c>
      <c r="AH93" s="418">
        <f t="shared" si="61"/>
        <v>0</v>
      </c>
      <c r="AI93" s="296">
        <f>IF(Simulador!$T$67=1,'Tabla de amortizacion'!AJ93,'Tabla de amortizacion'!AR93)</f>
        <v>0.09</v>
      </c>
      <c r="AJ93" s="297">
        <f t="shared" si="71"/>
        <v>0.09</v>
      </c>
      <c r="AK93" s="298">
        <f t="shared" si="62"/>
        <v>0</v>
      </c>
      <c r="AL93" s="297">
        <f t="shared" si="45"/>
        <v>0.092</v>
      </c>
      <c r="AM93" s="297">
        <f t="shared" si="46"/>
        <v>0.092</v>
      </c>
      <c r="AN93" s="520">
        <f t="shared" si="47"/>
        <v>0.092</v>
      </c>
      <c r="AO93" s="520">
        <f t="shared" si="48"/>
        <v>0.092</v>
      </c>
      <c r="AP93" s="299">
        <v>0</v>
      </c>
      <c r="AQ93" s="414">
        <f t="shared" si="63"/>
        <v>0</v>
      </c>
      <c r="AR93" s="300">
        <f>IF(AND(Simulador!$T$67=2,Simulador!$T$61=1),AL93,IF(AND(Simulador!$T$67=2,Simulador!$T$61=2),AM93,IF(AND(Simulador!$T$67=2,Simulador!$T$61=3),AN93,AO93)))</f>
        <v>0.092</v>
      </c>
      <c r="AS93" s="281"/>
      <c r="AT93" s="70">
        <f aca="true" t="shared" si="72" ref="AT93:AT156">IF(AX92&lt;=0,0,AX92)</f>
        <v>0</v>
      </c>
      <c r="AU93" s="70">
        <f t="shared" si="64"/>
        <v>0</v>
      </c>
      <c r="AV93" s="71">
        <f t="shared" si="53"/>
        <v>0</v>
      </c>
      <c r="AW93" s="70">
        <f t="shared" si="54"/>
        <v>0</v>
      </c>
      <c r="AX93" s="70">
        <f t="shared" si="65"/>
        <v>0</v>
      </c>
      <c r="AY93" s="72">
        <f t="shared" si="55"/>
      </c>
      <c r="AZ93" s="70">
        <f>_xlfn.IFERROR(IF(Simulador!$U$29=1,0,IF($AT93&lt;=0.01,0,$AT93*Simulador!$AA$42)),0)+_xlfn.IFERROR(IF(Simulador!$U$29=1,0,IF($AT93&lt;=0.01,0,IF(Simulador!$D$22&gt;0,Simulador!$D$22,Simulador!$O$24)*Simulador!$AA$43)),0)</f>
        <v>0</v>
      </c>
      <c r="BA93" s="73"/>
      <c r="BB93" s="70">
        <f t="shared" si="56"/>
        <v>0</v>
      </c>
      <c r="BC93">
        <f t="shared" si="66"/>
        <v>0</v>
      </c>
      <c r="BD93" s="431">
        <f t="shared" si="67"/>
      </c>
      <c r="BE93" s="432">
        <f t="shared" si="68"/>
        <v>0</v>
      </c>
      <c r="BF93" s="69">
        <v>79</v>
      </c>
      <c r="BG93" s="38"/>
      <c r="BH93" s="438"/>
      <c r="BJ93" s="69"/>
      <c r="BM93" s="432"/>
    </row>
    <row r="94" spans="1:65" ht="12">
      <c r="A94" s="531">
        <v>80</v>
      </c>
      <c r="B94" s="106">
        <f t="shared" si="69"/>
        <v>0</v>
      </c>
      <c r="C94" s="106"/>
      <c r="D94" s="107">
        <f>IF(B94+F94-D93&lt;=0,B94+F94,IF(AND(OR(Simulador!$U$38=2,Simulador!$U$38=7),J93=0),D93*(1+AA94),IF($AE$3=2,B94*AQ94,D93*(1+AA94))))</f>
        <v>0</v>
      </c>
      <c r="E94" s="107"/>
      <c r="F94" s="107">
        <f t="shared" si="50"/>
        <v>0</v>
      </c>
      <c r="G94" s="107"/>
      <c r="H94" s="107">
        <f t="shared" si="70"/>
        <v>0</v>
      </c>
      <c r="I94" s="108"/>
      <c r="J94" s="109"/>
      <c r="K94" s="108"/>
      <c r="L94" s="107">
        <f>IF(Simulador!$T$40=1,0,J94*Simulador!$W$38*1.16)</f>
        <v>0</v>
      </c>
      <c r="M94" s="107"/>
      <c r="N94" s="110">
        <f>IF(B94-H94=0,0,N92)</f>
        <v>0</v>
      </c>
      <c r="O94" s="13"/>
      <c r="P94" s="664">
        <f t="shared" si="51"/>
      </c>
      <c r="Q94" s="3"/>
      <c r="R94" s="107">
        <f t="shared" si="57"/>
        <v>0</v>
      </c>
      <c r="S94" s="107"/>
      <c r="T94" s="107">
        <f>_xlfn.IFERROR(IF(Simulador!$U$29=1,0,IF($B94&lt;=0,0,$B94*Simulador!$AA$42)),0)</f>
        <v>0</v>
      </c>
      <c r="U94" s="107"/>
      <c r="V94" s="107">
        <f>_xlfn.IFERROR(IF(Simulador!$U$29=1,0,IF($B94&lt;=0,0,IF(Simulador!$D$22&gt;0,Simulador!$D$22,Simulador!$O$24)*Simulador!$AA$43)),0)</f>
        <v>0</v>
      </c>
      <c r="W94" s="107"/>
      <c r="X94" s="107"/>
      <c r="Y94" s="107">
        <f t="shared" si="52"/>
        <v>0</v>
      </c>
      <c r="Z94" s="14"/>
      <c r="AA94" s="19"/>
      <c r="AB94" s="24"/>
      <c r="AC94" s="303">
        <v>6</v>
      </c>
      <c r="AD94" s="295">
        <v>8</v>
      </c>
      <c r="AE94" s="400">
        <f t="shared" si="58"/>
        <v>0</v>
      </c>
      <c r="AF94" s="279">
        <f t="shared" si="59"/>
        <v>0</v>
      </c>
      <c r="AG94" s="279">
        <f t="shared" si="60"/>
        <v>0</v>
      </c>
      <c r="AH94" s="418">
        <f t="shared" si="61"/>
        <v>0</v>
      </c>
      <c r="AI94" s="296">
        <f>IF(Simulador!$T$67=1,'Tabla de amortizacion'!AJ94,'Tabla de amortizacion'!AR94)</f>
        <v>0.09</v>
      </c>
      <c r="AJ94" s="297">
        <f t="shared" si="71"/>
        <v>0.09</v>
      </c>
      <c r="AK94" s="298">
        <f t="shared" si="62"/>
        <v>0</v>
      </c>
      <c r="AL94" s="297">
        <f t="shared" si="45"/>
        <v>0.092</v>
      </c>
      <c r="AM94" s="297">
        <f t="shared" si="46"/>
        <v>0.092</v>
      </c>
      <c r="AN94" s="520">
        <f t="shared" si="47"/>
        <v>0.092</v>
      </c>
      <c r="AO94" s="520">
        <f t="shared" si="48"/>
        <v>0.092</v>
      </c>
      <c r="AP94" s="299">
        <v>0</v>
      </c>
      <c r="AQ94" s="414">
        <f t="shared" si="63"/>
        <v>0</v>
      </c>
      <c r="AR94" s="300">
        <f>IF(AND(Simulador!$T$67=2,Simulador!$T$61=1),AL94,IF(AND(Simulador!$T$67=2,Simulador!$T$61=2),AM94,IF(AND(Simulador!$T$67=2,Simulador!$T$61=3),AN94,AO94)))</f>
        <v>0.092</v>
      </c>
      <c r="AS94" s="281"/>
      <c r="AT94" s="70">
        <f t="shared" si="72"/>
        <v>0</v>
      </c>
      <c r="AU94" s="70">
        <f t="shared" si="64"/>
        <v>0</v>
      </c>
      <c r="AV94" s="71">
        <f t="shared" si="53"/>
        <v>0</v>
      </c>
      <c r="AW94" s="70">
        <f t="shared" si="54"/>
        <v>0</v>
      </c>
      <c r="AX94" s="70">
        <f t="shared" si="65"/>
        <v>0</v>
      </c>
      <c r="AY94" s="72">
        <f t="shared" si="55"/>
      </c>
      <c r="AZ94" s="70">
        <f>_xlfn.IFERROR(IF(Simulador!$U$29=1,0,IF($AT94&lt;=0.01,0,$AT94*Simulador!$AA$42)),0)+_xlfn.IFERROR(IF(Simulador!$U$29=1,0,IF($AT94&lt;=0.01,0,IF(Simulador!$D$22&gt;0,Simulador!$D$22,Simulador!$O$24)*Simulador!$AA$43)),0)</f>
        <v>0</v>
      </c>
      <c r="BA94" s="73"/>
      <c r="BB94" s="70">
        <f t="shared" si="56"/>
        <v>0</v>
      </c>
      <c r="BC94">
        <f t="shared" si="66"/>
        <v>0</v>
      </c>
      <c r="BD94" s="431">
        <f t="shared" si="67"/>
      </c>
      <c r="BE94" s="432">
        <f t="shared" si="68"/>
        <v>0</v>
      </c>
      <c r="BF94" s="69">
        <v>80</v>
      </c>
      <c r="BG94" s="38"/>
      <c r="BH94" s="438"/>
      <c r="BJ94" s="69"/>
      <c r="BM94" s="432"/>
    </row>
    <row r="95" spans="1:65" ht="12">
      <c r="A95" s="531">
        <v>81</v>
      </c>
      <c r="B95" s="106">
        <f t="shared" si="69"/>
        <v>0</v>
      </c>
      <c r="C95" s="106"/>
      <c r="D95" s="107">
        <f>IF(B95+F95-D94&lt;=0,B95+F95,IF(AND(OR(Simulador!$U$38=2,Simulador!$U$38=7),J94=0),D94*(1+AA95),IF($AE$3=2,B95*AQ95,D94*(1+AA95))))</f>
        <v>0</v>
      </c>
      <c r="E95" s="107"/>
      <c r="F95" s="107">
        <f t="shared" si="50"/>
        <v>0</v>
      </c>
      <c r="G95" s="107"/>
      <c r="H95" s="107">
        <f t="shared" si="70"/>
        <v>0</v>
      </c>
      <c r="I95" s="108"/>
      <c r="J95" s="109"/>
      <c r="K95" s="108"/>
      <c r="L95" s="107">
        <f>IF(Simulador!$T$40=1,0,J95*Simulador!$W$38*1.16)</f>
        <v>0</v>
      </c>
      <c r="M95" s="107"/>
      <c r="N95" s="111"/>
      <c r="O95" s="13"/>
      <c r="P95" s="664">
        <f t="shared" si="51"/>
      </c>
      <c r="Q95" s="3"/>
      <c r="R95" s="107">
        <f t="shared" si="57"/>
        <v>0</v>
      </c>
      <c r="S95" s="107"/>
      <c r="T95" s="107">
        <f>_xlfn.IFERROR(IF(Simulador!$U$29=1,0,IF($B95&lt;=0,0,$B95*Simulador!$AA$42)),0)</f>
        <v>0</v>
      </c>
      <c r="U95" s="107"/>
      <c r="V95" s="107">
        <f>_xlfn.IFERROR(IF(Simulador!$U$29=1,0,IF($B95&lt;=0,0,IF(Simulador!$D$22&gt;0,Simulador!$D$22,Simulador!$O$24)*Simulador!$AA$43)),0)</f>
        <v>0</v>
      </c>
      <c r="W95" s="107"/>
      <c r="X95" s="107"/>
      <c r="Y95" s="107">
        <f t="shared" si="52"/>
        <v>0</v>
      </c>
      <c r="Z95" s="14"/>
      <c r="AA95" s="19"/>
      <c r="AB95" s="24"/>
      <c r="AC95" s="303">
        <v>6</v>
      </c>
      <c r="AD95" s="302">
        <v>9</v>
      </c>
      <c r="AE95" s="400">
        <f t="shared" si="58"/>
        <v>0</v>
      </c>
      <c r="AF95" s="279">
        <f t="shared" si="59"/>
        <v>0</v>
      </c>
      <c r="AG95" s="279">
        <f t="shared" si="60"/>
        <v>0</v>
      </c>
      <c r="AH95" s="418">
        <f t="shared" si="61"/>
        <v>0</v>
      </c>
      <c r="AI95" s="296">
        <f>IF(Simulador!$T$67=1,'Tabla de amortizacion'!AJ95,'Tabla de amortizacion'!AR95)</f>
        <v>0.09</v>
      </c>
      <c r="AJ95" s="297">
        <f t="shared" si="71"/>
        <v>0.09</v>
      </c>
      <c r="AK95" s="298">
        <f t="shared" si="62"/>
        <v>0</v>
      </c>
      <c r="AL95" s="297">
        <f t="shared" si="45"/>
        <v>0.092</v>
      </c>
      <c r="AM95" s="297">
        <f t="shared" si="46"/>
        <v>0.092</v>
      </c>
      <c r="AN95" s="520">
        <f t="shared" si="47"/>
        <v>0.092</v>
      </c>
      <c r="AO95" s="520">
        <f t="shared" si="48"/>
        <v>0.092</v>
      </c>
      <c r="AP95" s="299">
        <v>0</v>
      </c>
      <c r="AQ95" s="414">
        <f t="shared" si="63"/>
        <v>0</v>
      </c>
      <c r="AR95" s="300">
        <f>IF(AND(Simulador!$T$67=2,Simulador!$T$61=1),AL95,IF(AND(Simulador!$T$67=2,Simulador!$T$61=2),AM95,IF(AND(Simulador!$T$67=2,Simulador!$T$61=3),AN95,AO95)))</f>
        <v>0.092</v>
      </c>
      <c r="AS95" s="281"/>
      <c r="AT95" s="70">
        <f t="shared" si="72"/>
        <v>0</v>
      </c>
      <c r="AU95" s="70">
        <f t="shared" si="64"/>
        <v>0</v>
      </c>
      <c r="AV95" s="71">
        <f t="shared" si="53"/>
        <v>0</v>
      </c>
      <c r="AW95" s="70">
        <f t="shared" si="54"/>
        <v>0</v>
      </c>
      <c r="AX95" s="70">
        <f t="shared" si="65"/>
        <v>0</v>
      </c>
      <c r="AY95" s="72">
        <f t="shared" si="55"/>
      </c>
      <c r="AZ95" s="70">
        <f>_xlfn.IFERROR(IF(Simulador!$U$29=1,0,IF($AT95&lt;=0.01,0,$AT95*Simulador!$AA$42)),0)+_xlfn.IFERROR(IF(Simulador!$U$29=1,0,IF($AT95&lt;=0.01,0,IF(Simulador!$D$22&gt;0,Simulador!$D$22,Simulador!$O$24)*Simulador!$AA$43)),0)</f>
        <v>0</v>
      </c>
      <c r="BA95" s="73"/>
      <c r="BB95" s="70">
        <f t="shared" si="56"/>
        <v>0</v>
      </c>
      <c r="BC95">
        <f t="shared" si="66"/>
        <v>0</v>
      </c>
      <c r="BD95" s="431">
        <f t="shared" si="67"/>
      </c>
      <c r="BE95" s="432">
        <f t="shared" si="68"/>
        <v>0</v>
      </c>
      <c r="BF95" s="69">
        <v>81</v>
      </c>
      <c r="BG95" s="38"/>
      <c r="BH95" s="438"/>
      <c r="BJ95" s="69"/>
      <c r="BM95" s="432"/>
    </row>
    <row r="96" spans="1:65" ht="12">
      <c r="A96" s="531">
        <v>82</v>
      </c>
      <c r="B96" s="106">
        <f t="shared" si="69"/>
        <v>0</v>
      </c>
      <c r="C96" s="106"/>
      <c r="D96" s="107">
        <f>IF(B96+F96-D95&lt;=0,B96+F96,IF(AND(OR(Simulador!$U$38=2,Simulador!$U$38=7),J95=0),D95*(1+AA96),IF($AE$3=2,B96*AQ96,D95*(1+AA96))))</f>
        <v>0</v>
      </c>
      <c r="E96" s="107"/>
      <c r="F96" s="107">
        <f t="shared" si="50"/>
        <v>0</v>
      </c>
      <c r="G96" s="107"/>
      <c r="H96" s="107">
        <f t="shared" si="70"/>
        <v>0</v>
      </c>
      <c r="I96" s="108"/>
      <c r="J96" s="109"/>
      <c r="K96" s="108"/>
      <c r="L96" s="107">
        <f>IF(Simulador!$T$40=1,0,J96*Simulador!$W$38*1.16)</f>
        <v>0</v>
      </c>
      <c r="M96" s="107"/>
      <c r="N96" s="110">
        <f>IF(B96-H96=0,0,N94)</f>
        <v>0</v>
      </c>
      <c r="O96" s="13"/>
      <c r="P96" s="664">
        <f t="shared" si="51"/>
      </c>
      <c r="Q96" s="3"/>
      <c r="R96" s="107">
        <f t="shared" si="57"/>
        <v>0</v>
      </c>
      <c r="S96" s="107"/>
      <c r="T96" s="107">
        <f>_xlfn.IFERROR(IF(Simulador!$U$29=1,0,IF($B96&lt;=0,0,$B96*Simulador!$AA$42)),0)</f>
        <v>0</v>
      </c>
      <c r="U96" s="107"/>
      <c r="V96" s="107">
        <f>_xlfn.IFERROR(IF(Simulador!$U$29=1,0,IF($B96&lt;=0,0,IF(Simulador!$D$22&gt;0,Simulador!$D$22,Simulador!$O$24)*Simulador!$AA$43)),0)</f>
        <v>0</v>
      </c>
      <c r="W96" s="107"/>
      <c r="X96" s="107"/>
      <c r="Y96" s="107">
        <f t="shared" si="52"/>
        <v>0</v>
      </c>
      <c r="Z96" s="14"/>
      <c r="AA96" s="19"/>
      <c r="AB96" s="24"/>
      <c r="AC96" s="303">
        <v>6</v>
      </c>
      <c r="AD96" s="302">
        <v>10</v>
      </c>
      <c r="AE96" s="400">
        <f t="shared" si="58"/>
        <v>0</v>
      </c>
      <c r="AF96" s="279">
        <f t="shared" si="59"/>
        <v>0</v>
      </c>
      <c r="AG96" s="279">
        <f t="shared" si="60"/>
        <v>0</v>
      </c>
      <c r="AH96" s="418">
        <f t="shared" si="61"/>
        <v>0</v>
      </c>
      <c r="AI96" s="296">
        <f>IF(Simulador!$T$67=1,'Tabla de amortizacion'!AJ96,'Tabla de amortizacion'!AR96)</f>
        <v>0.09</v>
      </c>
      <c r="AJ96" s="297">
        <f t="shared" si="71"/>
        <v>0.09</v>
      </c>
      <c r="AK96" s="298">
        <f t="shared" si="62"/>
        <v>0</v>
      </c>
      <c r="AL96" s="297">
        <f t="shared" si="45"/>
        <v>0.092</v>
      </c>
      <c r="AM96" s="297">
        <f t="shared" si="46"/>
        <v>0.092</v>
      </c>
      <c r="AN96" s="520">
        <f t="shared" si="47"/>
        <v>0.092</v>
      </c>
      <c r="AO96" s="520">
        <f t="shared" si="48"/>
        <v>0.092</v>
      </c>
      <c r="AP96" s="299">
        <v>0</v>
      </c>
      <c r="AQ96" s="414">
        <f t="shared" si="63"/>
        <v>0</v>
      </c>
      <c r="AR96" s="300">
        <f>IF(AND(Simulador!$T$67=2,Simulador!$T$61=1),AL96,IF(AND(Simulador!$T$67=2,Simulador!$T$61=2),AM96,IF(AND(Simulador!$T$67=2,Simulador!$T$61=3),AN96,AO96)))</f>
        <v>0.092</v>
      </c>
      <c r="AS96" s="281"/>
      <c r="AT96" s="70">
        <f t="shared" si="72"/>
        <v>0</v>
      </c>
      <c r="AU96" s="70">
        <f t="shared" si="64"/>
        <v>0</v>
      </c>
      <c r="AV96" s="71">
        <f t="shared" si="53"/>
        <v>0</v>
      </c>
      <c r="AW96" s="70">
        <f t="shared" si="54"/>
        <v>0</v>
      </c>
      <c r="AX96" s="70">
        <f t="shared" si="65"/>
        <v>0</v>
      </c>
      <c r="AY96" s="72">
        <f t="shared" si="55"/>
      </c>
      <c r="AZ96" s="70">
        <f>_xlfn.IFERROR(IF(Simulador!$U$29=1,0,IF($AT96&lt;=0.01,0,$AT96*Simulador!$AA$42)),0)+_xlfn.IFERROR(IF(Simulador!$U$29=1,0,IF($AT96&lt;=0.01,0,IF(Simulador!$D$22&gt;0,Simulador!$D$22,Simulador!$O$24)*Simulador!$AA$43)),0)</f>
        <v>0</v>
      </c>
      <c r="BA96" s="73"/>
      <c r="BB96" s="70">
        <f t="shared" si="56"/>
        <v>0</v>
      </c>
      <c r="BC96">
        <f t="shared" si="66"/>
        <v>0</v>
      </c>
      <c r="BD96" s="431">
        <f t="shared" si="67"/>
      </c>
      <c r="BE96" s="432">
        <f t="shared" si="68"/>
        <v>0</v>
      </c>
      <c r="BF96" s="69">
        <v>82</v>
      </c>
      <c r="BG96" s="38"/>
      <c r="BH96" s="438"/>
      <c r="BJ96" s="69"/>
      <c r="BM96" s="432"/>
    </row>
    <row r="97" spans="1:65" ht="12">
      <c r="A97" s="531">
        <v>83</v>
      </c>
      <c r="B97" s="106">
        <f t="shared" si="69"/>
        <v>0</v>
      </c>
      <c r="C97" s="106"/>
      <c r="D97" s="107">
        <f>IF(B97+F97-D96&lt;=0,B97+F97,IF(AND(OR(Simulador!$U$38=2,Simulador!$U$38=7),J96=0),D96*(1+AA97),IF($AE$3=2,B97*AQ97,D96*(1+AA97))))</f>
        <v>0</v>
      </c>
      <c r="E97" s="107"/>
      <c r="F97" s="107">
        <f t="shared" si="50"/>
        <v>0</v>
      </c>
      <c r="G97" s="107"/>
      <c r="H97" s="107">
        <f t="shared" si="70"/>
        <v>0</v>
      </c>
      <c r="I97" s="108"/>
      <c r="J97" s="109"/>
      <c r="K97" s="108"/>
      <c r="L97" s="107">
        <f>IF(Simulador!$T$40=1,0,J97*Simulador!$W$38*1.16)</f>
        <v>0</v>
      </c>
      <c r="M97" s="107"/>
      <c r="N97" s="111"/>
      <c r="O97" s="13"/>
      <c r="P97" s="664">
        <f t="shared" si="51"/>
      </c>
      <c r="Q97" s="3"/>
      <c r="R97" s="107">
        <f t="shared" si="57"/>
        <v>0</v>
      </c>
      <c r="S97" s="107"/>
      <c r="T97" s="107">
        <f>_xlfn.IFERROR(IF(Simulador!$U$29=1,0,IF($B97&lt;=0,0,$B97*Simulador!$AA$42)),0)</f>
        <v>0</v>
      </c>
      <c r="U97" s="107"/>
      <c r="V97" s="107">
        <f>_xlfn.IFERROR(IF(Simulador!$U$29=1,0,IF($B97&lt;=0,0,IF(Simulador!$D$22&gt;0,Simulador!$D$22,Simulador!$O$24)*Simulador!$AA$43)),0)</f>
        <v>0</v>
      </c>
      <c r="W97" s="107"/>
      <c r="X97" s="107"/>
      <c r="Y97" s="107">
        <f t="shared" si="52"/>
        <v>0</v>
      </c>
      <c r="Z97" s="14"/>
      <c r="AA97" s="19"/>
      <c r="AB97" s="24"/>
      <c r="AC97" s="303">
        <v>6</v>
      </c>
      <c r="AD97" s="295">
        <v>11</v>
      </c>
      <c r="AE97" s="400">
        <f t="shared" si="58"/>
        <v>0</v>
      </c>
      <c r="AF97" s="279">
        <f t="shared" si="59"/>
        <v>0</v>
      </c>
      <c r="AG97" s="279">
        <f t="shared" si="60"/>
        <v>0</v>
      </c>
      <c r="AH97" s="418">
        <f t="shared" si="61"/>
        <v>0</v>
      </c>
      <c r="AI97" s="296">
        <f>IF(Simulador!$T$67=1,'Tabla de amortizacion'!AJ97,'Tabla de amortizacion'!AR97)</f>
        <v>0.09</v>
      </c>
      <c r="AJ97" s="297">
        <f t="shared" si="71"/>
        <v>0.09</v>
      </c>
      <c r="AK97" s="298">
        <f t="shared" si="62"/>
        <v>0</v>
      </c>
      <c r="AL97" s="297">
        <f t="shared" si="45"/>
        <v>0.092</v>
      </c>
      <c r="AM97" s="297">
        <f t="shared" si="46"/>
        <v>0.092</v>
      </c>
      <c r="AN97" s="520">
        <f t="shared" si="47"/>
        <v>0.092</v>
      </c>
      <c r="AO97" s="520">
        <f t="shared" si="48"/>
        <v>0.092</v>
      </c>
      <c r="AP97" s="299">
        <v>0</v>
      </c>
      <c r="AQ97" s="414">
        <f t="shared" si="63"/>
        <v>0</v>
      </c>
      <c r="AR97" s="300">
        <f>IF(AND(Simulador!$T$67=2,Simulador!$T$61=1),AL97,IF(AND(Simulador!$T$67=2,Simulador!$T$61=2),AM97,IF(AND(Simulador!$T$67=2,Simulador!$T$61=3),AN97,AO97)))</f>
        <v>0.092</v>
      </c>
      <c r="AS97" s="281"/>
      <c r="AT97" s="70">
        <f t="shared" si="72"/>
        <v>0</v>
      </c>
      <c r="AU97" s="70">
        <f t="shared" si="64"/>
        <v>0</v>
      </c>
      <c r="AV97" s="71">
        <f t="shared" si="53"/>
        <v>0</v>
      </c>
      <c r="AW97" s="70">
        <f t="shared" si="54"/>
        <v>0</v>
      </c>
      <c r="AX97" s="70">
        <f t="shared" si="65"/>
        <v>0</v>
      </c>
      <c r="AY97" s="72">
        <f t="shared" si="55"/>
      </c>
      <c r="AZ97" s="70">
        <f>_xlfn.IFERROR(IF(Simulador!$U$29=1,0,IF($AT97&lt;=0.01,0,$AT97*Simulador!$AA$42)),0)+_xlfn.IFERROR(IF(Simulador!$U$29=1,0,IF($AT97&lt;=0.01,0,IF(Simulador!$D$22&gt;0,Simulador!$D$22,Simulador!$O$24)*Simulador!$AA$43)),0)</f>
        <v>0</v>
      </c>
      <c r="BA97" s="73"/>
      <c r="BB97" s="70">
        <f t="shared" si="56"/>
        <v>0</v>
      </c>
      <c r="BC97">
        <f t="shared" si="66"/>
        <v>0</v>
      </c>
      <c r="BD97" s="431">
        <f t="shared" si="67"/>
      </c>
      <c r="BE97" s="432">
        <f t="shared" si="68"/>
        <v>0</v>
      </c>
      <c r="BF97" s="69">
        <v>83</v>
      </c>
      <c r="BG97" s="38"/>
      <c r="BH97" s="438"/>
      <c r="BJ97" s="69"/>
      <c r="BM97" s="432"/>
    </row>
    <row r="98" spans="1:65" ht="12">
      <c r="A98" s="531">
        <v>84</v>
      </c>
      <c r="B98" s="106">
        <f t="shared" si="69"/>
        <v>0</v>
      </c>
      <c r="C98" s="106"/>
      <c r="D98" s="107">
        <f>IF(B98+F98-D97&lt;=0,B98+F98,IF(AND(OR(Simulador!$U$38=2,Simulador!$U$38=7),J97=0),D97*(1+AA98),IF($AE$3=2,B98*AQ98,D97*(1+AA98))))</f>
        <v>0</v>
      </c>
      <c r="E98" s="107"/>
      <c r="F98" s="107">
        <f t="shared" si="50"/>
        <v>0</v>
      </c>
      <c r="G98" s="107"/>
      <c r="H98" s="107">
        <f t="shared" si="70"/>
        <v>0</v>
      </c>
      <c r="I98" s="108"/>
      <c r="J98" s="109"/>
      <c r="K98" s="108"/>
      <c r="L98" s="107">
        <f>IF(Simulador!$T$40=1,0,J98*Simulador!$W$38*1.16)</f>
        <v>0</v>
      </c>
      <c r="M98" s="107"/>
      <c r="N98" s="110">
        <f>IF(B98-H98=0,0,N96)</f>
        <v>0</v>
      </c>
      <c r="O98" s="13"/>
      <c r="P98" s="664">
        <f t="shared" si="51"/>
      </c>
      <c r="Q98" s="3"/>
      <c r="R98" s="107">
        <f t="shared" si="57"/>
        <v>0</v>
      </c>
      <c r="S98" s="107"/>
      <c r="T98" s="107">
        <f>_xlfn.IFERROR(IF(Simulador!$U$29=1,0,IF($B98&lt;=0,0,$B98*Simulador!$AA$42)),0)</f>
        <v>0</v>
      </c>
      <c r="U98" s="107"/>
      <c r="V98" s="107">
        <f>_xlfn.IFERROR(IF(Simulador!$U$29=1,0,IF($B98&lt;=0,0,IF(Simulador!$D$22&gt;0,Simulador!$D$22,Simulador!$O$24)*Simulador!$AA$43)),0)</f>
        <v>0</v>
      </c>
      <c r="W98" s="107"/>
      <c r="X98" s="107"/>
      <c r="Y98" s="107">
        <f t="shared" si="52"/>
        <v>0</v>
      </c>
      <c r="Z98" s="14"/>
      <c r="AA98" s="19"/>
      <c r="AB98" s="24"/>
      <c r="AC98" s="303">
        <v>7</v>
      </c>
      <c r="AD98" s="295">
        <v>0</v>
      </c>
      <c r="AE98" s="400">
        <f t="shared" si="58"/>
        <v>0</v>
      </c>
      <c r="AF98" s="279">
        <f t="shared" si="59"/>
        <v>0</v>
      </c>
      <c r="AG98" s="279">
        <f t="shared" si="60"/>
        <v>0</v>
      </c>
      <c r="AH98" s="418">
        <f t="shared" si="61"/>
        <v>0</v>
      </c>
      <c r="AI98" s="296">
        <f>IF(Simulador!$T$67=1,'Tabla de amortizacion'!AJ98,'Tabla de amortizacion'!AR98)</f>
        <v>0.09</v>
      </c>
      <c r="AJ98" s="297">
        <f t="shared" si="71"/>
        <v>0.09</v>
      </c>
      <c r="AK98" s="298">
        <f t="shared" si="62"/>
        <v>0</v>
      </c>
      <c r="AL98" s="297">
        <f t="shared" si="45"/>
        <v>0.092</v>
      </c>
      <c r="AM98" s="297">
        <f t="shared" si="46"/>
        <v>0.092</v>
      </c>
      <c r="AN98" s="520">
        <f t="shared" si="47"/>
        <v>0.092</v>
      </c>
      <c r="AO98" s="520">
        <f t="shared" si="48"/>
        <v>0.092</v>
      </c>
      <c r="AP98" s="299">
        <v>0</v>
      </c>
      <c r="AQ98" s="414">
        <f t="shared" si="63"/>
        <v>0</v>
      </c>
      <c r="AR98" s="300">
        <f>IF(AND(Simulador!$T$67=2,Simulador!$T$61=1),AL98,IF(AND(Simulador!$T$67=2,Simulador!$T$61=2),AM98,IF(AND(Simulador!$T$67=2,Simulador!$T$61=3),AN98,AO98)))</f>
        <v>0.092</v>
      </c>
      <c r="AS98" s="281"/>
      <c r="AT98" s="70">
        <f t="shared" si="72"/>
        <v>0</v>
      </c>
      <c r="AU98" s="70">
        <f t="shared" si="64"/>
        <v>0</v>
      </c>
      <c r="AV98" s="71">
        <f t="shared" si="53"/>
        <v>0</v>
      </c>
      <c r="AW98" s="70">
        <f t="shared" si="54"/>
        <v>0</v>
      </c>
      <c r="AX98" s="70">
        <f t="shared" si="65"/>
        <v>0</v>
      </c>
      <c r="AY98" s="72">
        <f t="shared" si="55"/>
      </c>
      <c r="AZ98" s="70">
        <f>_xlfn.IFERROR(IF(Simulador!$U$29=1,0,IF($AT98&lt;=0.01,0,$AT98*Simulador!$AA$42)),0)+_xlfn.IFERROR(IF(Simulador!$U$29=1,0,IF($AT98&lt;=0.01,0,IF(Simulador!$D$22&gt;0,Simulador!$D$22,Simulador!$O$24)*Simulador!$AA$43)),0)</f>
        <v>0</v>
      </c>
      <c r="BA98" s="73"/>
      <c r="BB98" s="70">
        <f t="shared" si="56"/>
        <v>0</v>
      </c>
      <c r="BC98">
        <f t="shared" si="66"/>
        <v>0</v>
      </c>
      <c r="BD98" s="431">
        <f t="shared" si="67"/>
      </c>
      <c r="BE98" s="432">
        <f t="shared" si="68"/>
        <v>0</v>
      </c>
      <c r="BF98" s="69">
        <v>84</v>
      </c>
      <c r="BG98" s="38"/>
      <c r="BH98" s="438"/>
      <c r="BJ98" s="69"/>
      <c r="BM98" s="432"/>
    </row>
    <row r="99" spans="1:65" ht="12">
      <c r="A99" s="531">
        <v>85</v>
      </c>
      <c r="B99" s="106">
        <f t="shared" si="69"/>
        <v>0</v>
      </c>
      <c r="C99" s="106"/>
      <c r="D99" s="107">
        <f>IF(B99+F99-D98&lt;=0,B99+F99,IF(AND(OR(Simulador!$U$38=2,Simulador!$U$38=7),J98=0),D98*(1+AA99),IF($AE$3=2,B99*AQ99,D98*(1+AA99))))</f>
        <v>0</v>
      </c>
      <c r="E99" s="107"/>
      <c r="F99" s="107">
        <f t="shared" si="50"/>
        <v>0</v>
      </c>
      <c r="G99" s="107"/>
      <c r="H99" s="107">
        <f t="shared" si="70"/>
        <v>0</v>
      </c>
      <c r="I99" s="108"/>
      <c r="J99" s="109"/>
      <c r="K99" s="108"/>
      <c r="L99" s="107">
        <f>IF(Simulador!$T$40=1,0,J99*Simulador!$W$38*1.16)</f>
        <v>0</v>
      </c>
      <c r="M99" s="107"/>
      <c r="N99" s="111"/>
      <c r="O99" s="13"/>
      <c r="P99" s="664">
        <f t="shared" si="51"/>
      </c>
      <c r="Q99" s="3"/>
      <c r="R99" s="107">
        <f t="shared" si="57"/>
        <v>0</v>
      </c>
      <c r="S99" s="107"/>
      <c r="T99" s="107">
        <f>_xlfn.IFERROR(IF(Simulador!$U$29=1,0,IF($B99&lt;=0,0,$B99*Simulador!$AA$42)),0)</f>
        <v>0</v>
      </c>
      <c r="U99" s="107"/>
      <c r="V99" s="107">
        <f>_xlfn.IFERROR(IF(Simulador!$U$29=1,0,IF($B99&lt;=0,0,IF(Simulador!$D$22&gt;0,Simulador!$D$22,Simulador!$O$24)*Simulador!$AA$43)),0)</f>
        <v>0</v>
      </c>
      <c r="W99" s="107"/>
      <c r="X99" s="107"/>
      <c r="Y99" s="107">
        <f t="shared" si="52"/>
        <v>0</v>
      </c>
      <c r="Z99" s="14"/>
      <c r="AA99" s="19">
        <f>IF(B99&lt;=0,0,Simulador!$I$42)</f>
        <v>0</v>
      </c>
      <c r="AB99" s="24"/>
      <c r="AC99" s="303">
        <v>7</v>
      </c>
      <c r="AD99" s="295">
        <v>1</v>
      </c>
      <c r="AE99" s="400">
        <f t="shared" si="58"/>
        <v>0</v>
      </c>
      <c r="AF99" s="279">
        <f t="shared" si="59"/>
        <v>0</v>
      </c>
      <c r="AG99" s="279">
        <f t="shared" si="60"/>
        <v>0</v>
      </c>
      <c r="AH99" s="418">
        <f t="shared" si="61"/>
        <v>0</v>
      </c>
      <c r="AI99" s="296">
        <f>IF(Simulador!$T$67=1,'Tabla de amortizacion'!AJ99,'Tabla de amortizacion'!AR99)</f>
        <v>0.09</v>
      </c>
      <c r="AJ99" s="297">
        <f>IF(AJ98=$AM$4,AJ98,IF(AJ98-0.25%&lt;=$AM$4,$AM$4,AJ98-0.25%))</f>
        <v>0.09</v>
      </c>
      <c r="AK99" s="298">
        <f t="shared" si="62"/>
        <v>0</v>
      </c>
      <c r="AL99" s="298"/>
      <c r="AM99" s="297">
        <f t="shared" si="46"/>
        <v>0.092</v>
      </c>
      <c r="AN99" s="520">
        <f t="shared" si="47"/>
        <v>0.092</v>
      </c>
      <c r="AO99" s="520">
        <f t="shared" si="48"/>
        <v>0.092</v>
      </c>
      <c r="AP99" s="299">
        <v>0</v>
      </c>
      <c r="AQ99" s="414">
        <f t="shared" si="63"/>
        <v>0</v>
      </c>
      <c r="AR99" s="300">
        <f>IF(AND(Simulador!$T$67=2,Simulador!$T$61=1),AL99,IF(AND(Simulador!$T$67=2,Simulador!$T$61=2),AM99,IF(AND(Simulador!$T$67=2,Simulador!$T$61=3),AN99,AO99)))</f>
        <v>0.092</v>
      </c>
      <c r="AS99" s="281"/>
      <c r="AT99" s="70">
        <f t="shared" si="72"/>
        <v>0</v>
      </c>
      <c r="AU99" s="70">
        <f t="shared" si="64"/>
        <v>0</v>
      </c>
      <c r="AV99" s="71">
        <f t="shared" si="53"/>
        <v>0</v>
      </c>
      <c r="AW99" s="70">
        <f t="shared" si="54"/>
        <v>0</v>
      </c>
      <c r="AX99" s="70">
        <f t="shared" si="65"/>
        <v>0</v>
      </c>
      <c r="AY99" s="72">
        <f t="shared" si="55"/>
      </c>
      <c r="AZ99" s="70">
        <f>_xlfn.IFERROR(IF(Simulador!$U$29=1,0,IF($AT99&lt;=0.01,0,$AT99*Simulador!$AA$42)),0)+_xlfn.IFERROR(IF(Simulador!$U$29=1,0,IF($AT99&lt;=0.01,0,IF(Simulador!$D$22&gt;0,Simulador!$D$22,Simulador!$O$24)*Simulador!$AA$43)),0)</f>
        <v>0</v>
      </c>
      <c r="BA99" s="73">
        <f>IF(AT99&lt;=0,0,$BA$27)</f>
        <v>0</v>
      </c>
      <c r="BB99" s="70">
        <f t="shared" si="56"/>
        <v>0</v>
      </c>
      <c r="BC99">
        <f t="shared" si="66"/>
        <v>0</v>
      </c>
      <c r="BD99" s="431">
        <f t="shared" si="67"/>
      </c>
      <c r="BE99" s="432">
        <f t="shared" si="68"/>
        <v>0</v>
      </c>
      <c r="BF99" s="69">
        <v>85</v>
      </c>
      <c r="BG99" s="38"/>
      <c r="BH99" s="438"/>
      <c r="BJ99" s="69"/>
      <c r="BM99" s="432"/>
    </row>
    <row r="100" spans="1:65" ht="12">
      <c r="A100" s="531">
        <v>86</v>
      </c>
      <c r="B100" s="106">
        <f t="shared" si="69"/>
        <v>0</v>
      </c>
      <c r="C100" s="106"/>
      <c r="D100" s="107">
        <f>IF(B100+F100-D99&lt;=0,B100+F100,IF(AND(OR(Simulador!$U$38=2,Simulador!$U$38=7),J99=0),D99*(1+AA100),IF($AE$3=2,B100*AQ100,D99*(1+AA100))))</f>
        <v>0</v>
      </c>
      <c r="E100" s="107"/>
      <c r="F100" s="107">
        <f t="shared" si="50"/>
        <v>0</v>
      </c>
      <c r="G100" s="107"/>
      <c r="H100" s="107">
        <f t="shared" si="70"/>
        <v>0</v>
      </c>
      <c r="I100" s="108"/>
      <c r="J100" s="109"/>
      <c r="K100" s="108"/>
      <c r="L100" s="107">
        <f>IF(Simulador!$T$40=1,0,J100*Simulador!$W$38*1.16)</f>
        <v>0</v>
      </c>
      <c r="M100" s="107"/>
      <c r="N100" s="110">
        <f>IF(B100-H100=0,0,N98*(1+(Simulador!$AF$76)))</f>
        <v>0</v>
      </c>
      <c r="O100" s="13"/>
      <c r="P100" s="664">
        <f t="shared" si="51"/>
      </c>
      <c r="Q100" s="3"/>
      <c r="R100" s="107">
        <f t="shared" si="57"/>
        <v>0</v>
      </c>
      <c r="S100" s="107"/>
      <c r="T100" s="107">
        <f>_xlfn.IFERROR(IF(Simulador!$U$29=1,0,IF($B100&lt;=0,0,$B100*Simulador!$AA$42)),0)</f>
        <v>0</v>
      </c>
      <c r="U100" s="107"/>
      <c r="V100" s="107">
        <f>_xlfn.IFERROR(IF(Simulador!$U$29=1,0,IF($B100&lt;=0,0,IF(Simulador!$D$22&gt;0,Simulador!$D$22,Simulador!$O$24)*Simulador!$AA$43)),0)</f>
        <v>0</v>
      </c>
      <c r="W100" s="107"/>
      <c r="X100" s="107"/>
      <c r="Y100" s="107">
        <f t="shared" si="52"/>
        <v>0</v>
      </c>
      <c r="Z100" s="14"/>
      <c r="AA100" s="19"/>
      <c r="AB100" s="24"/>
      <c r="AC100" s="303">
        <v>7</v>
      </c>
      <c r="AD100" s="301">
        <v>2</v>
      </c>
      <c r="AE100" s="400">
        <f t="shared" si="58"/>
        <v>0</v>
      </c>
      <c r="AF100" s="279">
        <f t="shared" si="59"/>
        <v>0</v>
      </c>
      <c r="AG100" s="279">
        <f t="shared" si="60"/>
        <v>0</v>
      </c>
      <c r="AH100" s="418">
        <f t="shared" si="61"/>
        <v>0</v>
      </c>
      <c r="AI100" s="296">
        <f>IF(Simulador!$T$67=1,'Tabla de amortizacion'!AJ100,'Tabla de amortizacion'!AR100)</f>
        <v>0.09</v>
      </c>
      <c r="AJ100" s="297">
        <f>AJ99</f>
        <v>0.09</v>
      </c>
      <c r="AK100" s="298">
        <f t="shared" si="62"/>
        <v>0</v>
      </c>
      <c r="AL100" s="298"/>
      <c r="AM100" s="297">
        <f t="shared" si="46"/>
        <v>0.092</v>
      </c>
      <c r="AN100" s="520">
        <f t="shared" si="47"/>
        <v>0.092</v>
      </c>
      <c r="AO100" s="520">
        <f t="shared" si="48"/>
        <v>0.092</v>
      </c>
      <c r="AP100" s="299">
        <v>0</v>
      </c>
      <c r="AQ100" s="414">
        <f t="shared" si="63"/>
        <v>0</v>
      </c>
      <c r="AR100" s="300">
        <f>IF(AND(Simulador!$T$67=2,Simulador!$T$61=1),AL100,IF(AND(Simulador!$T$67=2,Simulador!$T$61=2),AM100,IF(AND(Simulador!$T$67=2,Simulador!$T$61=3),AN100,AO100)))</f>
        <v>0.092</v>
      </c>
      <c r="AS100" s="281"/>
      <c r="AT100" s="70">
        <f t="shared" si="72"/>
        <v>0</v>
      </c>
      <c r="AU100" s="70">
        <f t="shared" si="64"/>
        <v>0</v>
      </c>
      <c r="AV100" s="71">
        <f t="shared" si="53"/>
        <v>0</v>
      </c>
      <c r="AW100" s="70">
        <f t="shared" si="54"/>
        <v>0</v>
      </c>
      <c r="AX100" s="70">
        <f t="shared" si="65"/>
        <v>0</v>
      </c>
      <c r="AY100" s="72">
        <f t="shared" si="55"/>
      </c>
      <c r="AZ100" s="70">
        <f>_xlfn.IFERROR(IF(Simulador!$U$29=1,0,IF($AT100&lt;=0.01,0,$AT100*Simulador!$AA$42)),0)+_xlfn.IFERROR(IF(Simulador!$U$29=1,0,IF($AT100&lt;=0.01,0,IF(Simulador!$D$22&gt;0,Simulador!$D$22,Simulador!$O$24)*Simulador!$AA$43)),0)</f>
        <v>0</v>
      </c>
      <c r="BA100" s="73"/>
      <c r="BB100" s="70">
        <f t="shared" si="56"/>
        <v>0</v>
      </c>
      <c r="BC100">
        <f t="shared" si="66"/>
        <v>0</v>
      </c>
      <c r="BD100" s="431">
        <f t="shared" si="67"/>
      </c>
      <c r="BE100" s="432">
        <f t="shared" si="68"/>
        <v>0</v>
      </c>
      <c r="BF100" s="69">
        <v>86</v>
      </c>
      <c r="BG100" s="38"/>
      <c r="BH100" s="438"/>
      <c r="BJ100" s="69"/>
      <c r="BM100" s="432"/>
    </row>
    <row r="101" spans="1:65" ht="12">
      <c r="A101" s="531">
        <v>87</v>
      </c>
      <c r="B101" s="106">
        <f t="shared" si="69"/>
        <v>0</v>
      </c>
      <c r="C101" s="106"/>
      <c r="D101" s="107">
        <f>IF(B101+F101-D100&lt;=0,B101+F101,IF(AND(OR(Simulador!$U$38=2,Simulador!$U$38=7),J100=0),D100*(1+AA101),IF($AE$3=2,B101*AQ101,D100*(1+AA101))))</f>
        <v>0</v>
      </c>
      <c r="E101" s="107"/>
      <c r="F101" s="107">
        <f t="shared" si="50"/>
        <v>0</v>
      </c>
      <c r="G101" s="107"/>
      <c r="H101" s="107">
        <f t="shared" si="70"/>
        <v>0</v>
      </c>
      <c r="I101" s="108"/>
      <c r="J101" s="109"/>
      <c r="K101" s="108"/>
      <c r="L101" s="107">
        <f>IF(Simulador!$T$40=1,0,J101*Simulador!$W$38*1.16)</f>
        <v>0</v>
      </c>
      <c r="M101" s="107"/>
      <c r="N101" s="111"/>
      <c r="O101" s="13"/>
      <c r="P101" s="664">
        <f t="shared" si="51"/>
      </c>
      <c r="Q101" s="3"/>
      <c r="R101" s="107">
        <f t="shared" si="57"/>
        <v>0</v>
      </c>
      <c r="S101" s="107"/>
      <c r="T101" s="107">
        <f>_xlfn.IFERROR(IF(Simulador!$U$29=1,0,IF($B101&lt;=0,0,$B101*Simulador!$AA$42)),0)</f>
        <v>0</v>
      </c>
      <c r="U101" s="107"/>
      <c r="V101" s="107">
        <f>_xlfn.IFERROR(IF(Simulador!$U$29=1,0,IF($B101&lt;=0,0,IF(Simulador!$D$22&gt;0,Simulador!$D$22,Simulador!$O$24)*Simulador!$AA$43)),0)</f>
        <v>0</v>
      </c>
      <c r="W101" s="107"/>
      <c r="X101" s="107"/>
      <c r="Y101" s="107">
        <f t="shared" si="52"/>
        <v>0</v>
      </c>
      <c r="Z101" s="14"/>
      <c r="AA101" s="19"/>
      <c r="AB101" s="24"/>
      <c r="AC101" s="303">
        <v>7</v>
      </c>
      <c r="AD101" s="301">
        <v>3</v>
      </c>
      <c r="AE101" s="400">
        <f t="shared" si="58"/>
        <v>0</v>
      </c>
      <c r="AF101" s="279">
        <f t="shared" si="59"/>
        <v>0</v>
      </c>
      <c r="AG101" s="279">
        <f t="shared" si="60"/>
        <v>0</v>
      </c>
      <c r="AH101" s="418">
        <f t="shared" si="61"/>
        <v>0</v>
      </c>
      <c r="AI101" s="296">
        <f>IF(Simulador!$T$67=1,'Tabla de amortizacion'!AJ101,'Tabla de amortizacion'!AR101)</f>
        <v>0.09</v>
      </c>
      <c r="AJ101" s="297">
        <f aca="true" t="shared" si="73" ref="AJ101:AJ110">AJ100</f>
        <v>0.09</v>
      </c>
      <c r="AK101" s="298">
        <f t="shared" si="62"/>
        <v>0</v>
      </c>
      <c r="AL101" s="298"/>
      <c r="AM101" s="297">
        <f t="shared" si="46"/>
        <v>0.092</v>
      </c>
      <c r="AN101" s="520">
        <f t="shared" si="47"/>
        <v>0.092</v>
      </c>
      <c r="AO101" s="520">
        <f t="shared" si="48"/>
        <v>0.092</v>
      </c>
      <c r="AP101" s="299">
        <v>0</v>
      </c>
      <c r="AQ101" s="414">
        <f t="shared" si="63"/>
        <v>0</v>
      </c>
      <c r="AR101" s="300">
        <f>IF(AND(Simulador!$T$67=2,Simulador!$T$61=1),AL101,IF(AND(Simulador!$T$67=2,Simulador!$T$61=2),AM101,IF(AND(Simulador!$T$67=2,Simulador!$T$61=3),AN101,AO101)))</f>
        <v>0.092</v>
      </c>
      <c r="AS101" s="281"/>
      <c r="AT101" s="70">
        <f t="shared" si="72"/>
        <v>0</v>
      </c>
      <c r="AU101" s="70">
        <f t="shared" si="64"/>
        <v>0</v>
      </c>
      <c r="AV101" s="71">
        <f t="shared" si="53"/>
        <v>0</v>
      </c>
      <c r="AW101" s="70">
        <f t="shared" si="54"/>
        <v>0</v>
      </c>
      <c r="AX101" s="70">
        <f t="shared" si="65"/>
        <v>0</v>
      </c>
      <c r="AY101" s="72">
        <f t="shared" si="55"/>
      </c>
      <c r="AZ101" s="70">
        <f>_xlfn.IFERROR(IF(Simulador!$U$29=1,0,IF($AT101&lt;=0.01,0,$AT101*Simulador!$AA$42)),0)+_xlfn.IFERROR(IF(Simulador!$U$29=1,0,IF($AT101&lt;=0.01,0,IF(Simulador!$D$22&gt;0,Simulador!$D$22,Simulador!$O$24)*Simulador!$AA$43)),0)</f>
        <v>0</v>
      </c>
      <c r="BA101" s="73"/>
      <c r="BB101" s="70">
        <f t="shared" si="56"/>
        <v>0</v>
      </c>
      <c r="BC101">
        <f t="shared" si="66"/>
        <v>0</v>
      </c>
      <c r="BD101" s="431">
        <f t="shared" si="67"/>
      </c>
      <c r="BE101" s="432">
        <f t="shared" si="68"/>
        <v>0</v>
      </c>
      <c r="BF101" s="69">
        <v>87</v>
      </c>
      <c r="BG101" s="38"/>
      <c r="BH101" s="438"/>
      <c r="BJ101" s="69"/>
      <c r="BM101" s="432"/>
    </row>
    <row r="102" spans="1:65" ht="12">
      <c r="A102" s="531">
        <v>88</v>
      </c>
      <c r="B102" s="106">
        <f t="shared" si="69"/>
        <v>0</v>
      </c>
      <c r="C102" s="106"/>
      <c r="D102" s="107">
        <f>IF(B102+F102-D101&lt;=0,B102+F102,IF(AND(OR(Simulador!$U$38=2,Simulador!$U$38=7),J101=0),D101*(1+AA102),IF($AE$3=2,B102*AQ102,D101*(1+AA102))))</f>
        <v>0</v>
      </c>
      <c r="E102" s="107"/>
      <c r="F102" s="107">
        <f t="shared" si="50"/>
        <v>0</v>
      </c>
      <c r="G102" s="107"/>
      <c r="H102" s="107">
        <f t="shared" si="70"/>
        <v>0</v>
      </c>
      <c r="I102" s="108"/>
      <c r="J102" s="109"/>
      <c r="K102" s="108"/>
      <c r="L102" s="107">
        <f>IF(Simulador!$T$40=1,0,J102*Simulador!$W$38*1.16)</f>
        <v>0</v>
      </c>
      <c r="M102" s="107"/>
      <c r="N102" s="110">
        <f>IF(B102-H102=0,0,N100)</f>
        <v>0</v>
      </c>
      <c r="O102" s="13"/>
      <c r="P102" s="664">
        <f t="shared" si="51"/>
      </c>
      <c r="Q102" s="3"/>
      <c r="R102" s="107">
        <f t="shared" si="57"/>
        <v>0</v>
      </c>
      <c r="S102" s="107"/>
      <c r="T102" s="107">
        <f>_xlfn.IFERROR(IF(Simulador!$U$29=1,0,IF($B102&lt;=0,0,$B102*Simulador!$AA$42)),0)</f>
        <v>0</v>
      </c>
      <c r="U102" s="107"/>
      <c r="V102" s="107">
        <f>_xlfn.IFERROR(IF(Simulador!$U$29=1,0,IF($B102&lt;=0,0,IF(Simulador!$D$22&gt;0,Simulador!$D$22,Simulador!$O$24)*Simulador!$AA$43)),0)</f>
        <v>0</v>
      </c>
      <c r="W102" s="107"/>
      <c r="X102" s="107"/>
      <c r="Y102" s="107">
        <f t="shared" si="52"/>
        <v>0</v>
      </c>
      <c r="Z102" s="14"/>
      <c r="AA102" s="19"/>
      <c r="AB102" s="24"/>
      <c r="AC102" s="303">
        <v>7</v>
      </c>
      <c r="AD102" s="295">
        <v>4</v>
      </c>
      <c r="AE102" s="400">
        <f t="shared" si="58"/>
        <v>0</v>
      </c>
      <c r="AF102" s="279">
        <f t="shared" si="59"/>
        <v>0</v>
      </c>
      <c r="AG102" s="279">
        <f t="shared" si="60"/>
        <v>0</v>
      </c>
      <c r="AH102" s="418">
        <f t="shared" si="61"/>
        <v>0</v>
      </c>
      <c r="AI102" s="296">
        <f>IF(Simulador!$T$67=1,'Tabla de amortizacion'!AJ102,'Tabla de amortizacion'!AR102)</f>
        <v>0.09</v>
      </c>
      <c r="AJ102" s="297">
        <f t="shared" si="73"/>
        <v>0.09</v>
      </c>
      <c r="AK102" s="298">
        <f t="shared" si="62"/>
        <v>0</v>
      </c>
      <c r="AL102" s="298"/>
      <c r="AM102" s="297">
        <f t="shared" si="46"/>
        <v>0.092</v>
      </c>
      <c r="AN102" s="520">
        <f t="shared" si="47"/>
        <v>0.092</v>
      </c>
      <c r="AO102" s="520">
        <f t="shared" si="48"/>
        <v>0.092</v>
      </c>
      <c r="AP102" s="299">
        <v>0</v>
      </c>
      <c r="AQ102" s="414">
        <f t="shared" si="63"/>
        <v>0</v>
      </c>
      <c r="AR102" s="300">
        <f>IF(AND(Simulador!$T$67=2,Simulador!$T$61=1),AL102,IF(AND(Simulador!$T$67=2,Simulador!$T$61=2),AM102,IF(AND(Simulador!$T$67=2,Simulador!$T$61=3),AN102,AO102)))</f>
        <v>0.092</v>
      </c>
      <c r="AS102" s="281"/>
      <c r="AT102" s="70">
        <f t="shared" si="72"/>
        <v>0</v>
      </c>
      <c r="AU102" s="70">
        <f t="shared" si="64"/>
        <v>0</v>
      </c>
      <c r="AV102" s="71">
        <f t="shared" si="53"/>
        <v>0</v>
      </c>
      <c r="AW102" s="70">
        <f t="shared" si="54"/>
        <v>0</v>
      </c>
      <c r="AX102" s="70">
        <f t="shared" si="65"/>
        <v>0</v>
      </c>
      <c r="AY102" s="72">
        <f t="shared" si="55"/>
      </c>
      <c r="AZ102" s="70">
        <f>_xlfn.IFERROR(IF(Simulador!$U$29=1,0,IF($AT102&lt;=0.01,0,$AT102*Simulador!$AA$42)),0)+_xlfn.IFERROR(IF(Simulador!$U$29=1,0,IF($AT102&lt;=0.01,0,IF(Simulador!$D$22&gt;0,Simulador!$D$22,Simulador!$O$24)*Simulador!$AA$43)),0)</f>
        <v>0</v>
      </c>
      <c r="BA102" s="73"/>
      <c r="BB102" s="70">
        <f t="shared" si="56"/>
        <v>0</v>
      </c>
      <c r="BC102">
        <f t="shared" si="66"/>
        <v>0</v>
      </c>
      <c r="BD102" s="431">
        <f t="shared" si="67"/>
      </c>
      <c r="BE102" s="432">
        <f t="shared" si="68"/>
        <v>0</v>
      </c>
      <c r="BF102" s="69">
        <v>88</v>
      </c>
      <c r="BG102" s="38"/>
      <c r="BH102" s="438"/>
      <c r="BJ102" s="69"/>
      <c r="BM102" s="432"/>
    </row>
    <row r="103" spans="1:65" ht="12">
      <c r="A103" s="531">
        <v>89</v>
      </c>
      <c r="B103" s="106">
        <f t="shared" si="69"/>
        <v>0</v>
      </c>
      <c r="C103" s="106"/>
      <c r="D103" s="107">
        <f>IF(B103+F103-D102&lt;=0,B103+F103,IF(AND(OR(Simulador!$U$38=2,Simulador!$U$38=7),J102=0),D102*(1+AA103),IF($AE$3=2,B103*AQ103,D102*(1+AA103))))</f>
        <v>0</v>
      </c>
      <c r="E103" s="107"/>
      <c r="F103" s="107">
        <f t="shared" si="50"/>
        <v>0</v>
      </c>
      <c r="G103" s="107"/>
      <c r="H103" s="107">
        <f t="shared" si="70"/>
        <v>0</v>
      </c>
      <c r="I103" s="108"/>
      <c r="J103" s="109"/>
      <c r="K103" s="108"/>
      <c r="L103" s="107">
        <f>IF(Simulador!$T$40=1,0,J103*Simulador!$W$38*1.16)</f>
        <v>0</v>
      </c>
      <c r="M103" s="107"/>
      <c r="N103" s="111"/>
      <c r="O103" s="13"/>
      <c r="P103" s="664">
        <f t="shared" si="51"/>
      </c>
      <c r="Q103" s="3"/>
      <c r="R103" s="107">
        <f t="shared" si="57"/>
        <v>0</v>
      </c>
      <c r="S103" s="107"/>
      <c r="T103" s="107">
        <f>_xlfn.IFERROR(IF(Simulador!$U$29=1,0,IF($B103&lt;=0,0,$B103*Simulador!$AA$42)),0)</f>
        <v>0</v>
      </c>
      <c r="U103" s="107"/>
      <c r="V103" s="107">
        <f>_xlfn.IFERROR(IF(Simulador!$U$29=1,0,IF($B103&lt;=0,0,IF(Simulador!$D$22&gt;0,Simulador!$D$22,Simulador!$O$24)*Simulador!$AA$43)),0)</f>
        <v>0</v>
      </c>
      <c r="W103" s="107"/>
      <c r="X103" s="107"/>
      <c r="Y103" s="107">
        <f t="shared" si="52"/>
        <v>0</v>
      </c>
      <c r="Z103" s="14"/>
      <c r="AA103" s="19"/>
      <c r="AB103" s="24"/>
      <c r="AC103" s="303">
        <v>7</v>
      </c>
      <c r="AD103" s="295">
        <v>5</v>
      </c>
      <c r="AE103" s="400">
        <f t="shared" si="58"/>
        <v>0</v>
      </c>
      <c r="AF103" s="279">
        <f t="shared" si="59"/>
        <v>0</v>
      </c>
      <c r="AG103" s="279">
        <f t="shared" si="60"/>
        <v>0</v>
      </c>
      <c r="AH103" s="418">
        <f t="shared" si="61"/>
        <v>0</v>
      </c>
      <c r="AI103" s="296">
        <f>IF(Simulador!$T$67=1,'Tabla de amortizacion'!AJ103,'Tabla de amortizacion'!AR103)</f>
        <v>0.09</v>
      </c>
      <c r="AJ103" s="297">
        <f t="shared" si="73"/>
        <v>0.09</v>
      </c>
      <c r="AK103" s="298">
        <f t="shared" si="62"/>
        <v>0</v>
      </c>
      <c r="AL103" s="298"/>
      <c r="AM103" s="297">
        <f t="shared" si="46"/>
        <v>0.092</v>
      </c>
      <c r="AN103" s="520">
        <f t="shared" si="47"/>
        <v>0.092</v>
      </c>
      <c r="AO103" s="520">
        <f t="shared" si="48"/>
        <v>0.092</v>
      </c>
      <c r="AP103" s="299">
        <v>0</v>
      </c>
      <c r="AQ103" s="414">
        <f t="shared" si="63"/>
        <v>0</v>
      </c>
      <c r="AR103" s="300">
        <f>IF(AND(Simulador!$T$67=2,Simulador!$T$61=1),AL103,IF(AND(Simulador!$T$67=2,Simulador!$T$61=2),AM103,IF(AND(Simulador!$T$67=2,Simulador!$T$61=3),AN103,AO103)))</f>
        <v>0.092</v>
      </c>
      <c r="AS103" s="281"/>
      <c r="AT103" s="70">
        <f t="shared" si="72"/>
        <v>0</v>
      </c>
      <c r="AU103" s="70">
        <f t="shared" si="64"/>
        <v>0</v>
      </c>
      <c r="AV103" s="71">
        <f t="shared" si="53"/>
        <v>0</v>
      </c>
      <c r="AW103" s="70">
        <f t="shared" si="54"/>
        <v>0</v>
      </c>
      <c r="AX103" s="70">
        <f t="shared" si="65"/>
        <v>0</v>
      </c>
      <c r="AY103" s="72">
        <f t="shared" si="55"/>
      </c>
      <c r="AZ103" s="70">
        <f>_xlfn.IFERROR(IF(Simulador!$U$29=1,0,IF($AT103&lt;=0.01,0,$AT103*Simulador!$AA$42)),0)+_xlfn.IFERROR(IF(Simulador!$U$29=1,0,IF($AT103&lt;=0.01,0,IF(Simulador!$D$22&gt;0,Simulador!$D$22,Simulador!$O$24)*Simulador!$AA$43)),0)</f>
        <v>0</v>
      </c>
      <c r="BA103" s="73"/>
      <c r="BB103" s="70">
        <f t="shared" si="56"/>
        <v>0</v>
      </c>
      <c r="BC103">
        <f t="shared" si="66"/>
        <v>0</v>
      </c>
      <c r="BD103" s="431">
        <f t="shared" si="67"/>
      </c>
      <c r="BE103" s="432">
        <f t="shared" si="68"/>
        <v>0</v>
      </c>
      <c r="BF103" s="69">
        <v>89</v>
      </c>
      <c r="BG103" s="38"/>
      <c r="BH103" s="438"/>
      <c r="BJ103" s="69"/>
      <c r="BM103" s="432"/>
    </row>
    <row r="104" spans="1:65" ht="12">
      <c r="A104" s="531">
        <v>90</v>
      </c>
      <c r="B104" s="106">
        <f t="shared" si="69"/>
        <v>0</v>
      </c>
      <c r="C104" s="106"/>
      <c r="D104" s="107">
        <f>IF(B104+F104-D103&lt;=0,B104+F104,IF(AND(OR(Simulador!$U$38=2,Simulador!$U$38=7),J103=0),D103*(1+AA104),IF($AE$3=2,B104*AQ104,D103*(1+AA104))))</f>
        <v>0</v>
      </c>
      <c r="E104" s="107"/>
      <c r="F104" s="107">
        <f t="shared" si="50"/>
        <v>0</v>
      </c>
      <c r="G104" s="107"/>
      <c r="H104" s="107">
        <f t="shared" si="70"/>
        <v>0</v>
      </c>
      <c r="I104" s="108"/>
      <c r="J104" s="109"/>
      <c r="K104" s="108"/>
      <c r="L104" s="107">
        <f>IF(Simulador!$T$40=1,0,J104*Simulador!$W$38*1.16)</f>
        <v>0</v>
      </c>
      <c r="M104" s="107"/>
      <c r="N104" s="110">
        <f>IF(B104-H104=0,0,N102)</f>
        <v>0</v>
      </c>
      <c r="O104" s="13"/>
      <c r="P104" s="664">
        <f t="shared" si="51"/>
      </c>
      <c r="Q104" s="3"/>
      <c r="R104" s="107">
        <f t="shared" si="57"/>
        <v>0</v>
      </c>
      <c r="S104" s="107"/>
      <c r="T104" s="107">
        <f>_xlfn.IFERROR(IF(Simulador!$U$29=1,0,IF($B104&lt;=0,0,$B104*Simulador!$AA$42)),0)</f>
        <v>0</v>
      </c>
      <c r="U104" s="107"/>
      <c r="V104" s="107">
        <f>_xlfn.IFERROR(IF(Simulador!$U$29=1,0,IF($B104&lt;=0,0,IF(Simulador!$D$22&gt;0,Simulador!$D$22,Simulador!$O$24)*Simulador!$AA$43)),0)</f>
        <v>0</v>
      </c>
      <c r="W104" s="107"/>
      <c r="X104" s="107"/>
      <c r="Y104" s="107">
        <f t="shared" si="52"/>
        <v>0</v>
      </c>
      <c r="Z104" s="14"/>
      <c r="AA104" s="19"/>
      <c r="AB104" s="24"/>
      <c r="AC104" s="303">
        <v>7</v>
      </c>
      <c r="AD104" s="295">
        <v>6</v>
      </c>
      <c r="AE104" s="400">
        <f t="shared" si="58"/>
        <v>0</v>
      </c>
      <c r="AF104" s="279">
        <f t="shared" si="59"/>
        <v>0</v>
      </c>
      <c r="AG104" s="279">
        <f t="shared" si="60"/>
        <v>0</v>
      </c>
      <c r="AH104" s="418">
        <f t="shared" si="61"/>
        <v>0</v>
      </c>
      <c r="AI104" s="296">
        <f>IF(Simulador!$T$67=1,'Tabla de amortizacion'!AJ104,'Tabla de amortizacion'!AR104)</f>
        <v>0.09</v>
      </c>
      <c r="AJ104" s="297">
        <f t="shared" si="73"/>
        <v>0.09</v>
      </c>
      <c r="AK104" s="298">
        <f t="shared" si="62"/>
        <v>0</v>
      </c>
      <c r="AL104" s="298"/>
      <c r="AM104" s="297">
        <f t="shared" si="46"/>
        <v>0.092</v>
      </c>
      <c r="AN104" s="520">
        <f t="shared" si="47"/>
        <v>0.092</v>
      </c>
      <c r="AO104" s="520">
        <f t="shared" si="48"/>
        <v>0.092</v>
      </c>
      <c r="AP104" s="299">
        <v>0</v>
      </c>
      <c r="AQ104" s="414">
        <f t="shared" si="63"/>
        <v>0</v>
      </c>
      <c r="AR104" s="300">
        <f>IF(AND(Simulador!$T$67=2,Simulador!$T$61=1),AL104,IF(AND(Simulador!$T$67=2,Simulador!$T$61=2),AM104,IF(AND(Simulador!$T$67=2,Simulador!$T$61=3),AN104,AO104)))</f>
        <v>0.092</v>
      </c>
      <c r="AS104" s="281"/>
      <c r="AT104" s="70">
        <f t="shared" si="72"/>
        <v>0</v>
      </c>
      <c r="AU104" s="70">
        <f t="shared" si="64"/>
        <v>0</v>
      </c>
      <c r="AV104" s="71">
        <f t="shared" si="53"/>
        <v>0</v>
      </c>
      <c r="AW104" s="70">
        <f t="shared" si="54"/>
        <v>0</v>
      </c>
      <c r="AX104" s="70">
        <f t="shared" si="65"/>
        <v>0</v>
      </c>
      <c r="AY104" s="72">
        <f t="shared" si="55"/>
      </c>
      <c r="AZ104" s="70">
        <f>_xlfn.IFERROR(IF(Simulador!$U$29=1,0,IF($AT104&lt;=0.01,0,$AT104*Simulador!$AA$42)),0)+_xlfn.IFERROR(IF(Simulador!$U$29=1,0,IF($AT104&lt;=0.01,0,IF(Simulador!$D$22&gt;0,Simulador!$D$22,Simulador!$O$24)*Simulador!$AA$43)),0)</f>
        <v>0</v>
      </c>
      <c r="BA104" s="73"/>
      <c r="BB104" s="70">
        <f t="shared" si="56"/>
        <v>0</v>
      </c>
      <c r="BC104">
        <f t="shared" si="66"/>
        <v>0</v>
      </c>
      <c r="BD104" s="431">
        <f t="shared" si="67"/>
      </c>
      <c r="BE104" s="432">
        <f t="shared" si="68"/>
        <v>0</v>
      </c>
      <c r="BF104" s="69">
        <v>90</v>
      </c>
      <c r="BG104" s="38"/>
      <c r="BH104" s="438"/>
      <c r="BJ104" s="69"/>
      <c r="BM104" s="432"/>
    </row>
    <row r="105" spans="1:65" ht="12">
      <c r="A105" s="531">
        <v>91</v>
      </c>
      <c r="B105" s="106">
        <f t="shared" si="69"/>
        <v>0</v>
      </c>
      <c r="C105" s="106"/>
      <c r="D105" s="107">
        <f>IF(B105+F105-D104&lt;=0,B105+F105,IF(AND(OR(Simulador!$U$38=2,Simulador!$U$38=7),J104=0),D104*(1+AA105),IF($AE$3=2,B105*AQ105,D104*(1+AA105))))</f>
        <v>0</v>
      </c>
      <c r="E105" s="107"/>
      <c r="F105" s="107">
        <f t="shared" si="50"/>
        <v>0</v>
      </c>
      <c r="G105" s="107"/>
      <c r="H105" s="107">
        <f t="shared" si="70"/>
        <v>0</v>
      </c>
      <c r="I105" s="108"/>
      <c r="J105" s="109"/>
      <c r="K105" s="108"/>
      <c r="L105" s="107">
        <f>IF(Simulador!$T$40=1,0,J105*Simulador!$W$38*1.16)</f>
        <v>0</v>
      </c>
      <c r="M105" s="107"/>
      <c r="N105" s="111"/>
      <c r="O105" s="13"/>
      <c r="P105" s="664">
        <f t="shared" si="51"/>
      </c>
      <c r="Q105" s="3"/>
      <c r="R105" s="107">
        <f t="shared" si="57"/>
        <v>0</v>
      </c>
      <c r="S105" s="107"/>
      <c r="T105" s="107">
        <f>_xlfn.IFERROR(IF(Simulador!$U$29=1,0,IF($B105&lt;=0,0,$B105*Simulador!$AA$42)),0)</f>
        <v>0</v>
      </c>
      <c r="U105" s="107"/>
      <c r="V105" s="107">
        <f>_xlfn.IFERROR(IF(Simulador!$U$29=1,0,IF($B105&lt;=0,0,IF(Simulador!$D$22&gt;0,Simulador!$D$22,Simulador!$O$24)*Simulador!$AA$43)),0)</f>
        <v>0</v>
      </c>
      <c r="W105" s="107"/>
      <c r="X105" s="107"/>
      <c r="Y105" s="107">
        <f t="shared" si="52"/>
        <v>0</v>
      </c>
      <c r="Z105" s="14"/>
      <c r="AA105" s="19"/>
      <c r="AB105" s="24"/>
      <c r="AC105" s="303">
        <v>7</v>
      </c>
      <c r="AD105" s="295">
        <v>7</v>
      </c>
      <c r="AE105" s="400">
        <f t="shared" si="58"/>
        <v>0</v>
      </c>
      <c r="AF105" s="279">
        <f t="shared" si="59"/>
        <v>0</v>
      </c>
      <c r="AG105" s="279">
        <f t="shared" si="60"/>
        <v>0</v>
      </c>
      <c r="AH105" s="418">
        <f t="shared" si="61"/>
        <v>0</v>
      </c>
      <c r="AI105" s="296">
        <f>IF(Simulador!$T$67=1,'Tabla de amortizacion'!AJ105,'Tabla de amortizacion'!AR105)</f>
        <v>0.09</v>
      </c>
      <c r="AJ105" s="297">
        <f t="shared" si="73"/>
        <v>0.09</v>
      </c>
      <c r="AK105" s="298">
        <f t="shared" si="62"/>
        <v>0</v>
      </c>
      <c r="AL105" s="298"/>
      <c r="AM105" s="297">
        <f t="shared" si="46"/>
        <v>0.092</v>
      </c>
      <c r="AN105" s="520">
        <f t="shared" si="47"/>
        <v>0.092</v>
      </c>
      <c r="AO105" s="520">
        <f t="shared" si="48"/>
        <v>0.092</v>
      </c>
      <c r="AP105" s="299">
        <v>0</v>
      </c>
      <c r="AQ105" s="414">
        <f t="shared" si="63"/>
        <v>0</v>
      </c>
      <c r="AR105" s="300">
        <f>IF(AND(Simulador!$T$67=2,Simulador!$T$61=1),AL105,IF(AND(Simulador!$T$67=2,Simulador!$T$61=2),AM105,IF(AND(Simulador!$T$67=2,Simulador!$T$61=3),AN105,AO105)))</f>
        <v>0.092</v>
      </c>
      <c r="AS105" s="281"/>
      <c r="AT105" s="70">
        <f t="shared" si="72"/>
        <v>0</v>
      </c>
      <c r="AU105" s="70">
        <f t="shared" si="64"/>
        <v>0</v>
      </c>
      <c r="AV105" s="71">
        <f t="shared" si="53"/>
        <v>0</v>
      </c>
      <c r="AW105" s="70">
        <f t="shared" si="54"/>
        <v>0</v>
      </c>
      <c r="AX105" s="70">
        <f t="shared" si="65"/>
        <v>0</v>
      </c>
      <c r="AY105" s="72">
        <f t="shared" si="55"/>
      </c>
      <c r="AZ105" s="70">
        <f>_xlfn.IFERROR(IF(Simulador!$U$29=1,0,IF($AT105&lt;=0.01,0,$AT105*Simulador!$AA$42)),0)+_xlfn.IFERROR(IF(Simulador!$U$29=1,0,IF($AT105&lt;=0.01,0,IF(Simulador!$D$22&gt;0,Simulador!$D$22,Simulador!$O$24)*Simulador!$AA$43)),0)</f>
        <v>0</v>
      </c>
      <c r="BA105" s="73"/>
      <c r="BB105" s="70">
        <f t="shared" si="56"/>
        <v>0</v>
      </c>
      <c r="BC105">
        <f t="shared" si="66"/>
        <v>0</v>
      </c>
      <c r="BD105" s="431">
        <f t="shared" si="67"/>
      </c>
      <c r="BE105" s="432">
        <f t="shared" si="68"/>
        <v>0</v>
      </c>
      <c r="BF105" s="69">
        <v>91</v>
      </c>
      <c r="BG105" s="38"/>
      <c r="BH105" s="438"/>
      <c r="BJ105" s="69"/>
      <c r="BM105" s="432"/>
    </row>
    <row r="106" spans="1:65" ht="12">
      <c r="A106" s="531">
        <v>92</v>
      </c>
      <c r="B106" s="106">
        <f t="shared" si="69"/>
        <v>0</v>
      </c>
      <c r="C106" s="106"/>
      <c r="D106" s="107">
        <f>IF(B106+F106-D105&lt;=0,B106+F106,IF(AND(OR(Simulador!$U$38=2,Simulador!$U$38=7),J105=0),D105*(1+AA106),IF($AE$3=2,B106*AQ106,D105*(1+AA106))))</f>
        <v>0</v>
      </c>
      <c r="E106" s="107"/>
      <c r="F106" s="107">
        <f t="shared" si="50"/>
        <v>0</v>
      </c>
      <c r="G106" s="107"/>
      <c r="H106" s="107">
        <f t="shared" si="70"/>
        <v>0</v>
      </c>
      <c r="I106" s="108"/>
      <c r="J106" s="109"/>
      <c r="K106" s="108"/>
      <c r="L106" s="107">
        <f>IF(Simulador!$T$40=1,0,J106*Simulador!$W$38*1.16)</f>
        <v>0</v>
      </c>
      <c r="M106" s="107"/>
      <c r="N106" s="110">
        <f>IF(B106-H106=0,0,N104)</f>
        <v>0</v>
      </c>
      <c r="O106" s="13"/>
      <c r="P106" s="664">
        <f t="shared" si="51"/>
      </c>
      <c r="Q106" s="3"/>
      <c r="R106" s="107">
        <f t="shared" si="57"/>
        <v>0</v>
      </c>
      <c r="S106" s="107"/>
      <c r="T106" s="107">
        <f>_xlfn.IFERROR(IF(Simulador!$U$29=1,0,IF($B106&lt;=0,0,$B106*Simulador!$AA$42)),0)</f>
        <v>0</v>
      </c>
      <c r="U106" s="107"/>
      <c r="V106" s="107">
        <f>_xlfn.IFERROR(IF(Simulador!$U$29=1,0,IF($B106&lt;=0,0,IF(Simulador!$D$22&gt;0,Simulador!$D$22,Simulador!$O$24)*Simulador!$AA$43)),0)</f>
        <v>0</v>
      </c>
      <c r="W106" s="107"/>
      <c r="X106" s="107"/>
      <c r="Y106" s="107">
        <f t="shared" si="52"/>
        <v>0</v>
      </c>
      <c r="Z106" s="14"/>
      <c r="AA106" s="19"/>
      <c r="AB106" s="24"/>
      <c r="AC106" s="303">
        <v>7</v>
      </c>
      <c r="AD106" s="295">
        <v>8</v>
      </c>
      <c r="AE106" s="400">
        <f t="shared" si="58"/>
        <v>0</v>
      </c>
      <c r="AF106" s="279">
        <f t="shared" si="59"/>
        <v>0</v>
      </c>
      <c r="AG106" s="279">
        <f t="shared" si="60"/>
        <v>0</v>
      </c>
      <c r="AH106" s="418">
        <f t="shared" si="61"/>
        <v>0</v>
      </c>
      <c r="AI106" s="296">
        <f>IF(Simulador!$T$67=1,'Tabla de amortizacion'!AJ106,'Tabla de amortizacion'!AR106)</f>
        <v>0.09</v>
      </c>
      <c r="AJ106" s="297">
        <f t="shared" si="73"/>
        <v>0.09</v>
      </c>
      <c r="AK106" s="298">
        <f t="shared" si="62"/>
        <v>0</v>
      </c>
      <c r="AL106" s="298"/>
      <c r="AM106" s="297">
        <f t="shared" si="46"/>
        <v>0.092</v>
      </c>
      <c r="AN106" s="520">
        <f t="shared" si="47"/>
        <v>0.092</v>
      </c>
      <c r="AO106" s="520">
        <f t="shared" si="48"/>
        <v>0.092</v>
      </c>
      <c r="AP106" s="299">
        <v>0</v>
      </c>
      <c r="AQ106" s="414">
        <f t="shared" si="63"/>
        <v>0</v>
      </c>
      <c r="AR106" s="300">
        <f>IF(AND(Simulador!$T$67=2,Simulador!$T$61=1),AL106,IF(AND(Simulador!$T$67=2,Simulador!$T$61=2),AM106,IF(AND(Simulador!$T$67=2,Simulador!$T$61=3),AN106,AO106)))</f>
        <v>0.092</v>
      </c>
      <c r="AS106" s="281"/>
      <c r="AT106" s="70">
        <f t="shared" si="72"/>
        <v>0</v>
      </c>
      <c r="AU106" s="70">
        <f t="shared" si="64"/>
        <v>0</v>
      </c>
      <c r="AV106" s="71">
        <f t="shared" si="53"/>
        <v>0</v>
      </c>
      <c r="AW106" s="70">
        <f t="shared" si="54"/>
        <v>0</v>
      </c>
      <c r="AX106" s="70">
        <f t="shared" si="65"/>
        <v>0</v>
      </c>
      <c r="AY106" s="72">
        <f t="shared" si="55"/>
      </c>
      <c r="AZ106" s="70">
        <f>_xlfn.IFERROR(IF(Simulador!$U$29=1,0,IF($AT106&lt;=0.01,0,$AT106*Simulador!$AA$42)),0)+_xlfn.IFERROR(IF(Simulador!$U$29=1,0,IF($AT106&lt;=0.01,0,IF(Simulador!$D$22&gt;0,Simulador!$D$22,Simulador!$O$24)*Simulador!$AA$43)),0)</f>
        <v>0</v>
      </c>
      <c r="BA106" s="73"/>
      <c r="BB106" s="70">
        <f t="shared" si="56"/>
        <v>0</v>
      </c>
      <c r="BC106">
        <f t="shared" si="66"/>
        <v>0</v>
      </c>
      <c r="BD106" s="431">
        <f t="shared" si="67"/>
      </c>
      <c r="BE106" s="432">
        <f t="shared" si="68"/>
        <v>0</v>
      </c>
      <c r="BF106" s="69">
        <v>92</v>
      </c>
      <c r="BG106" s="38"/>
      <c r="BH106" s="438"/>
      <c r="BJ106" s="69"/>
      <c r="BM106" s="432"/>
    </row>
    <row r="107" spans="1:65" ht="12">
      <c r="A107" s="531">
        <v>93</v>
      </c>
      <c r="B107" s="106">
        <f t="shared" si="69"/>
        <v>0</v>
      </c>
      <c r="C107" s="106"/>
      <c r="D107" s="107">
        <f>IF(B107+F107-D106&lt;=0,B107+F107,IF(AND(OR(Simulador!$U$38=2,Simulador!$U$38=7),J106=0),D106*(1+AA107),IF($AE$3=2,B107*AQ107,D106*(1+AA107))))</f>
        <v>0</v>
      </c>
      <c r="E107" s="107"/>
      <c r="F107" s="107">
        <f t="shared" si="50"/>
        <v>0</v>
      </c>
      <c r="G107" s="107"/>
      <c r="H107" s="107">
        <f t="shared" si="70"/>
        <v>0</v>
      </c>
      <c r="I107" s="108"/>
      <c r="J107" s="109"/>
      <c r="K107" s="108"/>
      <c r="L107" s="107">
        <f>IF(Simulador!$T$40=1,0,J107*Simulador!$W$38*1.16)</f>
        <v>0</v>
      </c>
      <c r="M107" s="107"/>
      <c r="N107" s="111"/>
      <c r="O107" s="13"/>
      <c r="P107" s="664">
        <f t="shared" si="51"/>
      </c>
      <c r="Q107" s="3"/>
      <c r="R107" s="107">
        <f t="shared" si="57"/>
        <v>0</v>
      </c>
      <c r="S107" s="107"/>
      <c r="T107" s="107">
        <f>_xlfn.IFERROR(IF(Simulador!$U$29=1,0,IF($B107&lt;=0,0,$B107*Simulador!$AA$42)),0)</f>
        <v>0</v>
      </c>
      <c r="U107" s="107"/>
      <c r="V107" s="107">
        <f>_xlfn.IFERROR(IF(Simulador!$U$29=1,0,IF($B107&lt;=0,0,IF(Simulador!$D$22&gt;0,Simulador!$D$22,Simulador!$O$24)*Simulador!$AA$43)),0)</f>
        <v>0</v>
      </c>
      <c r="W107" s="107"/>
      <c r="X107" s="107"/>
      <c r="Y107" s="107">
        <f t="shared" si="52"/>
        <v>0</v>
      </c>
      <c r="Z107" s="14"/>
      <c r="AA107" s="19"/>
      <c r="AB107" s="24"/>
      <c r="AC107" s="303">
        <v>7</v>
      </c>
      <c r="AD107" s="302">
        <v>9</v>
      </c>
      <c r="AE107" s="400">
        <f t="shared" si="58"/>
        <v>0</v>
      </c>
      <c r="AF107" s="279">
        <f t="shared" si="59"/>
        <v>0</v>
      </c>
      <c r="AG107" s="279">
        <f t="shared" si="60"/>
        <v>0</v>
      </c>
      <c r="AH107" s="418">
        <f t="shared" si="61"/>
        <v>0</v>
      </c>
      <c r="AI107" s="296">
        <f>IF(Simulador!$T$67=1,'Tabla de amortizacion'!AJ107,'Tabla de amortizacion'!AR107)</f>
        <v>0.09</v>
      </c>
      <c r="AJ107" s="297">
        <f t="shared" si="73"/>
        <v>0.09</v>
      </c>
      <c r="AK107" s="298">
        <f t="shared" si="62"/>
        <v>0</v>
      </c>
      <c r="AL107" s="298"/>
      <c r="AM107" s="297">
        <f t="shared" si="46"/>
        <v>0.092</v>
      </c>
      <c r="AN107" s="520">
        <f t="shared" si="47"/>
        <v>0.092</v>
      </c>
      <c r="AO107" s="520">
        <f t="shared" si="48"/>
        <v>0.092</v>
      </c>
      <c r="AP107" s="299">
        <v>0</v>
      </c>
      <c r="AQ107" s="414">
        <f t="shared" si="63"/>
        <v>0</v>
      </c>
      <c r="AR107" s="300">
        <f>IF(AND(Simulador!$T$67=2,Simulador!$T$61=1),AL107,IF(AND(Simulador!$T$67=2,Simulador!$T$61=2),AM107,IF(AND(Simulador!$T$67=2,Simulador!$T$61=3),AN107,AO107)))</f>
        <v>0.092</v>
      </c>
      <c r="AS107" s="281"/>
      <c r="AT107" s="70">
        <f t="shared" si="72"/>
        <v>0</v>
      </c>
      <c r="AU107" s="70">
        <f t="shared" si="64"/>
        <v>0</v>
      </c>
      <c r="AV107" s="71">
        <f t="shared" si="53"/>
        <v>0</v>
      </c>
      <c r="AW107" s="70">
        <f t="shared" si="54"/>
        <v>0</v>
      </c>
      <c r="AX107" s="70">
        <f t="shared" si="65"/>
        <v>0</v>
      </c>
      <c r="AY107" s="72">
        <f t="shared" si="55"/>
      </c>
      <c r="AZ107" s="70">
        <f>_xlfn.IFERROR(IF(Simulador!$U$29=1,0,IF($AT107&lt;=0.01,0,$AT107*Simulador!$AA$42)),0)+_xlfn.IFERROR(IF(Simulador!$U$29=1,0,IF($AT107&lt;=0.01,0,IF(Simulador!$D$22&gt;0,Simulador!$D$22,Simulador!$O$24)*Simulador!$AA$43)),0)</f>
        <v>0</v>
      </c>
      <c r="BA107" s="73"/>
      <c r="BB107" s="70">
        <f t="shared" si="56"/>
        <v>0</v>
      </c>
      <c r="BC107">
        <f t="shared" si="66"/>
        <v>0</v>
      </c>
      <c r="BD107" s="431">
        <f t="shared" si="67"/>
      </c>
      <c r="BE107" s="432">
        <f t="shared" si="68"/>
        <v>0</v>
      </c>
      <c r="BF107" s="69">
        <v>93</v>
      </c>
      <c r="BG107" s="38"/>
      <c r="BH107" s="438"/>
      <c r="BJ107" s="69"/>
      <c r="BM107" s="432"/>
    </row>
    <row r="108" spans="1:65" ht="12">
      <c r="A108" s="531">
        <v>94</v>
      </c>
      <c r="B108" s="106">
        <f t="shared" si="69"/>
        <v>0</v>
      </c>
      <c r="C108" s="106"/>
      <c r="D108" s="107">
        <f>IF(B108+F108-D107&lt;=0,B108+F108,IF(AND(OR(Simulador!$U$38=2,Simulador!$U$38=7),J107=0),D107*(1+AA108),IF($AE$3=2,B108*AQ108,D107*(1+AA108))))</f>
        <v>0</v>
      </c>
      <c r="E108" s="107"/>
      <c r="F108" s="107">
        <f t="shared" si="50"/>
        <v>0</v>
      </c>
      <c r="G108" s="107"/>
      <c r="H108" s="107">
        <f t="shared" si="70"/>
        <v>0</v>
      </c>
      <c r="I108" s="108"/>
      <c r="J108" s="109"/>
      <c r="K108" s="108"/>
      <c r="L108" s="107">
        <f>IF(Simulador!$T$40=1,0,J108*Simulador!$W$38*1.16)</f>
        <v>0</v>
      </c>
      <c r="M108" s="107"/>
      <c r="N108" s="110">
        <f>IF(B108-H108=0,0,N106)</f>
        <v>0</v>
      </c>
      <c r="O108" s="13"/>
      <c r="P108" s="664">
        <f t="shared" si="51"/>
      </c>
      <c r="Q108" s="3"/>
      <c r="R108" s="107">
        <f t="shared" si="57"/>
        <v>0</v>
      </c>
      <c r="S108" s="107"/>
      <c r="T108" s="107">
        <f>_xlfn.IFERROR(IF(Simulador!$U$29=1,0,IF($B108&lt;=0,0,$B108*Simulador!$AA$42)),0)</f>
        <v>0</v>
      </c>
      <c r="U108" s="107"/>
      <c r="V108" s="107">
        <f>_xlfn.IFERROR(IF(Simulador!$U$29=1,0,IF($B108&lt;=0,0,IF(Simulador!$D$22&gt;0,Simulador!$D$22,Simulador!$O$24)*Simulador!$AA$43)),0)</f>
        <v>0</v>
      </c>
      <c r="W108" s="107"/>
      <c r="X108" s="107"/>
      <c r="Y108" s="107">
        <f t="shared" si="52"/>
        <v>0</v>
      </c>
      <c r="Z108" s="14"/>
      <c r="AA108" s="19"/>
      <c r="AB108" s="24"/>
      <c r="AC108" s="303">
        <v>7</v>
      </c>
      <c r="AD108" s="302">
        <v>10</v>
      </c>
      <c r="AE108" s="400">
        <f t="shared" si="58"/>
        <v>0</v>
      </c>
      <c r="AF108" s="279">
        <f t="shared" si="59"/>
        <v>0</v>
      </c>
      <c r="AG108" s="279">
        <f t="shared" si="60"/>
        <v>0</v>
      </c>
      <c r="AH108" s="418">
        <f t="shared" si="61"/>
        <v>0</v>
      </c>
      <c r="AI108" s="296">
        <f>IF(Simulador!$T$67=1,'Tabla de amortizacion'!AJ108,'Tabla de amortizacion'!AR108)</f>
        <v>0.09</v>
      </c>
      <c r="AJ108" s="297">
        <f t="shared" si="73"/>
        <v>0.09</v>
      </c>
      <c r="AK108" s="298">
        <f t="shared" si="62"/>
        <v>0</v>
      </c>
      <c r="AL108" s="298"/>
      <c r="AM108" s="297">
        <f t="shared" si="46"/>
        <v>0.092</v>
      </c>
      <c r="AN108" s="520">
        <f t="shared" si="47"/>
        <v>0.092</v>
      </c>
      <c r="AO108" s="520">
        <f t="shared" si="48"/>
        <v>0.092</v>
      </c>
      <c r="AP108" s="299">
        <v>0</v>
      </c>
      <c r="AQ108" s="414">
        <f t="shared" si="63"/>
        <v>0</v>
      </c>
      <c r="AR108" s="300">
        <f>IF(AND(Simulador!$T$67=2,Simulador!$T$61=1),AL108,IF(AND(Simulador!$T$67=2,Simulador!$T$61=2),AM108,IF(AND(Simulador!$T$67=2,Simulador!$T$61=3),AN108,AO108)))</f>
        <v>0.092</v>
      </c>
      <c r="AS108" s="281"/>
      <c r="AT108" s="70">
        <f t="shared" si="72"/>
        <v>0</v>
      </c>
      <c r="AU108" s="70">
        <f t="shared" si="64"/>
        <v>0</v>
      </c>
      <c r="AV108" s="71">
        <f t="shared" si="53"/>
        <v>0</v>
      </c>
      <c r="AW108" s="70">
        <f t="shared" si="54"/>
        <v>0</v>
      </c>
      <c r="AX108" s="70">
        <f t="shared" si="65"/>
        <v>0</v>
      </c>
      <c r="AY108" s="72">
        <f t="shared" si="55"/>
      </c>
      <c r="AZ108" s="70">
        <f>_xlfn.IFERROR(IF(Simulador!$U$29=1,0,IF($AT108&lt;=0.01,0,$AT108*Simulador!$AA$42)),0)+_xlfn.IFERROR(IF(Simulador!$U$29=1,0,IF($AT108&lt;=0.01,0,IF(Simulador!$D$22&gt;0,Simulador!$D$22,Simulador!$O$24)*Simulador!$AA$43)),0)</f>
        <v>0</v>
      </c>
      <c r="BA108" s="73"/>
      <c r="BB108" s="70">
        <f t="shared" si="56"/>
        <v>0</v>
      </c>
      <c r="BC108">
        <f t="shared" si="66"/>
        <v>0</v>
      </c>
      <c r="BD108" s="431">
        <f t="shared" si="67"/>
      </c>
      <c r="BE108" s="432">
        <f t="shared" si="68"/>
        <v>0</v>
      </c>
      <c r="BF108" s="69">
        <v>94</v>
      </c>
      <c r="BG108" s="38"/>
      <c r="BH108" s="438"/>
      <c r="BJ108" s="69"/>
      <c r="BM108" s="432"/>
    </row>
    <row r="109" spans="1:65" ht="12">
      <c r="A109" s="531">
        <v>95</v>
      </c>
      <c r="B109" s="106">
        <f t="shared" si="69"/>
        <v>0</v>
      </c>
      <c r="C109" s="106"/>
      <c r="D109" s="107">
        <f>IF(B109+F109-D108&lt;=0,B109+F109,IF(AND(OR(Simulador!$U$38=2,Simulador!$U$38=7),J108=0),D108*(1+AA109),IF($AE$3=2,B109*AQ109,D108*(1+AA109))))</f>
        <v>0</v>
      </c>
      <c r="E109" s="107"/>
      <c r="F109" s="107">
        <f t="shared" si="50"/>
        <v>0</v>
      </c>
      <c r="G109" s="107"/>
      <c r="H109" s="107">
        <f t="shared" si="70"/>
        <v>0</v>
      </c>
      <c r="I109" s="108"/>
      <c r="J109" s="109"/>
      <c r="K109" s="108"/>
      <c r="L109" s="107">
        <f>IF(Simulador!$T$40=1,0,J109*Simulador!$W$38*1.16)</f>
        <v>0</v>
      </c>
      <c r="M109" s="107"/>
      <c r="N109" s="111"/>
      <c r="O109" s="13"/>
      <c r="P109" s="664">
        <f t="shared" si="51"/>
      </c>
      <c r="Q109" s="3"/>
      <c r="R109" s="107">
        <f t="shared" si="57"/>
        <v>0</v>
      </c>
      <c r="S109" s="107"/>
      <c r="T109" s="107">
        <f>_xlfn.IFERROR(IF(Simulador!$U$29=1,0,IF($B109&lt;=0,0,$B109*Simulador!$AA$42)),0)</f>
        <v>0</v>
      </c>
      <c r="U109" s="107"/>
      <c r="V109" s="107">
        <f>_xlfn.IFERROR(IF(Simulador!$U$29=1,0,IF($B109&lt;=0,0,IF(Simulador!$D$22&gt;0,Simulador!$D$22,Simulador!$O$24)*Simulador!$AA$43)),0)</f>
        <v>0</v>
      </c>
      <c r="W109" s="107"/>
      <c r="X109" s="107"/>
      <c r="Y109" s="107">
        <f t="shared" si="52"/>
        <v>0</v>
      </c>
      <c r="Z109" s="14"/>
      <c r="AA109" s="19"/>
      <c r="AB109" s="24"/>
      <c r="AC109" s="303">
        <v>7</v>
      </c>
      <c r="AD109" s="295">
        <v>11</v>
      </c>
      <c r="AE109" s="400">
        <f t="shared" si="58"/>
        <v>0</v>
      </c>
      <c r="AF109" s="279">
        <f t="shared" si="59"/>
        <v>0</v>
      </c>
      <c r="AG109" s="279">
        <f t="shared" si="60"/>
        <v>0</v>
      </c>
      <c r="AH109" s="418">
        <f t="shared" si="61"/>
        <v>0</v>
      </c>
      <c r="AI109" s="296">
        <f>IF(Simulador!$T$67=1,'Tabla de amortizacion'!AJ109,'Tabla de amortizacion'!AR109)</f>
        <v>0.09</v>
      </c>
      <c r="AJ109" s="297">
        <f t="shared" si="73"/>
        <v>0.09</v>
      </c>
      <c r="AK109" s="298">
        <f t="shared" si="62"/>
        <v>0</v>
      </c>
      <c r="AL109" s="298"/>
      <c r="AM109" s="297">
        <f t="shared" si="46"/>
        <v>0.092</v>
      </c>
      <c r="AN109" s="520">
        <f t="shared" si="47"/>
        <v>0.092</v>
      </c>
      <c r="AO109" s="520">
        <f t="shared" si="48"/>
        <v>0.092</v>
      </c>
      <c r="AP109" s="299">
        <v>0</v>
      </c>
      <c r="AQ109" s="414">
        <f t="shared" si="63"/>
        <v>0</v>
      </c>
      <c r="AR109" s="300">
        <f>IF(AND(Simulador!$T$67=2,Simulador!$T$61=1),AL109,IF(AND(Simulador!$T$67=2,Simulador!$T$61=2),AM109,IF(AND(Simulador!$T$67=2,Simulador!$T$61=3),AN109,AO109)))</f>
        <v>0.092</v>
      </c>
      <c r="AS109" s="281"/>
      <c r="AT109" s="70">
        <f t="shared" si="72"/>
        <v>0</v>
      </c>
      <c r="AU109" s="70">
        <f t="shared" si="64"/>
        <v>0</v>
      </c>
      <c r="AV109" s="71">
        <f t="shared" si="53"/>
        <v>0</v>
      </c>
      <c r="AW109" s="70">
        <f t="shared" si="54"/>
        <v>0</v>
      </c>
      <c r="AX109" s="70">
        <f t="shared" si="65"/>
        <v>0</v>
      </c>
      <c r="AY109" s="72">
        <f t="shared" si="55"/>
      </c>
      <c r="AZ109" s="70">
        <f>_xlfn.IFERROR(IF(Simulador!$U$29=1,0,IF($AT109&lt;=0.01,0,$AT109*Simulador!$AA$42)),0)+_xlfn.IFERROR(IF(Simulador!$U$29=1,0,IF($AT109&lt;=0.01,0,IF(Simulador!$D$22&gt;0,Simulador!$D$22,Simulador!$O$24)*Simulador!$AA$43)),0)</f>
        <v>0</v>
      </c>
      <c r="BA109" s="73"/>
      <c r="BB109" s="70">
        <f t="shared" si="56"/>
        <v>0</v>
      </c>
      <c r="BC109">
        <f t="shared" si="66"/>
        <v>0</v>
      </c>
      <c r="BD109" s="431">
        <f t="shared" si="67"/>
      </c>
      <c r="BE109" s="432">
        <f t="shared" si="68"/>
        <v>0</v>
      </c>
      <c r="BF109" s="69">
        <v>95</v>
      </c>
      <c r="BG109" s="38"/>
      <c r="BH109" s="438"/>
      <c r="BJ109" s="69"/>
      <c r="BM109" s="432"/>
    </row>
    <row r="110" spans="1:65" ht="12">
      <c r="A110" s="531">
        <v>96</v>
      </c>
      <c r="B110" s="106">
        <f t="shared" si="69"/>
        <v>0</v>
      </c>
      <c r="C110" s="106"/>
      <c r="D110" s="107">
        <f>IF(B110+F110-D109&lt;=0,B110+F110,IF(AND(OR(Simulador!$U$38=2,Simulador!$U$38=7),J109=0),D109*(1+AA110),IF($AE$3=2,B110*AQ110,D109*(1+AA110))))</f>
        <v>0</v>
      </c>
      <c r="E110" s="107"/>
      <c r="F110" s="107">
        <f t="shared" si="50"/>
        <v>0</v>
      </c>
      <c r="G110" s="107"/>
      <c r="H110" s="107">
        <f t="shared" si="70"/>
        <v>0</v>
      </c>
      <c r="I110" s="108"/>
      <c r="J110" s="109"/>
      <c r="K110" s="108"/>
      <c r="L110" s="107">
        <f>IF(Simulador!$T$40=1,0,J110*Simulador!$W$38*1.16)</f>
        <v>0</v>
      </c>
      <c r="M110" s="107"/>
      <c r="N110" s="110">
        <f>IF(B110-H110=0,0,N108)</f>
        <v>0</v>
      </c>
      <c r="O110" s="13"/>
      <c r="P110" s="664">
        <f t="shared" si="51"/>
      </c>
      <c r="Q110" s="3"/>
      <c r="R110" s="107">
        <f t="shared" si="57"/>
        <v>0</v>
      </c>
      <c r="S110" s="107"/>
      <c r="T110" s="107">
        <f>_xlfn.IFERROR(IF(Simulador!$U$29=1,0,IF($B110&lt;=0,0,$B110*Simulador!$AA$42)),0)</f>
        <v>0</v>
      </c>
      <c r="U110" s="107"/>
      <c r="V110" s="107">
        <f>_xlfn.IFERROR(IF(Simulador!$U$29=1,0,IF($B110&lt;=0,0,IF(Simulador!$D$22&gt;0,Simulador!$D$22,Simulador!$O$24)*Simulador!$AA$43)),0)</f>
        <v>0</v>
      </c>
      <c r="W110" s="107"/>
      <c r="X110" s="107"/>
      <c r="Y110" s="107">
        <f t="shared" si="52"/>
        <v>0</v>
      </c>
      <c r="Z110" s="14"/>
      <c r="AA110" s="19"/>
      <c r="AB110" s="24"/>
      <c r="AC110" s="303">
        <v>8</v>
      </c>
      <c r="AD110" s="295">
        <v>0</v>
      </c>
      <c r="AE110" s="400">
        <f t="shared" si="58"/>
        <v>0</v>
      </c>
      <c r="AF110" s="279">
        <f t="shared" si="59"/>
        <v>0</v>
      </c>
      <c r="AG110" s="279">
        <f t="shared" si="60"/>
        <v>0</v>
      </c>
      <c r="AH110" s="418">
        <f t="shared" si="61"/>
        <v>0</v>
      </c>
      <c r="AI110" s="296">
        <f>IF(Simulador!$T$67=1,'Tabla de amortizacion'!AJ110,'Tabla de amortizacion'!AR110)</f>
        <v>0.09</v>
      </c>
      <c r="AJ110" s="297">
        <f t="shared" si="73"/>
        <v>0.09</v>
      </c>
      <c r="AK110" s="298">
        <f t="shared" si="62"/>
        <v>0</v>
      </c>
      <c r="AL110" s="298"/>
      <c r="AM110" s="297">
        <f t="shared" si="46"/>
        <v>0.092</v>
      </c>
      <c r="AN110" s="520">
        <f t="shared" si="47"/>
        <v>0.092</v>
      </c>
      <c r="AO110" s="520">
        <f t="shared" si="48"/>
        <v>0.092</v>
      </c>
      <c r="AP110" s="299">
        <v>0</v>
      </c>
      <c r="AQ110" s="414">
        <f t="shared" si="63"/>
        <v>0</v>
      </c>
      <c r="AR110" s="300">
        <f>IF(AND(Simulador!$T$67=2,Simulador!$T$61=1),AL110,IF(AND(Simulador!$T$67=2,Simulador!$T$61=2),AM110,IF(AND(Simulador!$T$67=2,Simulador!$T$61=3),AN110,AO110)))</f>
        <v>0.092</v>
      </c>
      <c r="AS110" s="281"/>
      <c r="AT110" s="70">
        <f t="shared" si="72"/>
        <v>0</v>
      </c>
      <c r="AU110" s="70">
        <f t="shared" si="64"/>
        <v>0</v>
      </c>
      <c r="AV110" s="71">
        <f t="shared" si="53"/>
        <v>0</v>
      </c>
      <c r="AW110" s="70">
        <f t="shared" si="54"/>
        <v>0</v>
      </c>
      <c r="AX110" s="70">
        <f t="shared" si="65"/>
        <v>0</v>
      </c>
      <c r="AY110" s="72">
        <f t="shared" si="55"/>
      </c>
      <c r="AZ110" s="70">
        <f>_xlfn.IFERROR(IF(Simulador!$U$29=1,0,IF($AT110&lt;=0.01,0,$AT110*Simulador!$AA$42)),0)+_xlfn.IFERROR(IF(Simulador!$U$29=1,0,IF($AT110&lt;=0.01,0,IF(Simulador!$D$22&gt;0,Simulador!$D$22,Simulador!$O$24)*Simulador!$AA$43)),0)</f>
        <v>0</v>
      </c>
      <c r="BA110" s="73"/>
      <c r="BB110" s="70">
        <f t="shared" si="56"/>
        <v>0</v>
      </c>
      <c r="BC110">
        <f t="shared" si="66"/>
        <v>0</v>
      </c>
      <c r="BD110" s="431">
        <f t="shared" si="67"/>
      </c>
      <c r="BE110" s="432">
        <f t="shared" si="68"/>
        <v>0</v>
      </c>
      <c r="BF110" s="69">
        <v>96</v>
      </c>
      <c r="BG110" s="38"/>
      <c r="BH110" s="438"/>
      <c r="BJ110" s="69"/>
      <c r="BM110" s="432"/>
    </row>
    <row r="111" spans="1:65" ht="12">
      <c r="A111" s="531">
        <v>97</v>
      </c>
      <c r="B111" s="106">
        <f t="shared" si="69"/>
        <v>0</v>
      </c>
      <c r="C111" s="106"/>
      <c r="D111" s="107">
        <f>IF(B111+F111-D110&lt;=0,B111+F111,IF(AND(OR(Simulador!$U$38=2,Simulador!$U$38=7),J110=0),D110*(1+AA111),IF($AE$3=2,B111*AQ111,D110*(1+AA111))))</f>
        <v>0</v>
      </c>
      <c r="E111" s="107"/>
      <c r="F111" s="107">
        <f t="shared" si="50"/>
        <v>0</v>
      </c>
      <c r="G111" s="107"/>
      <c r="H111" s="107">
        <f t="shared" si="70"/>
        <v>0</v>
      </c>
      <c r="I111" s="108"/>
      <c r="J111" s="109"/>
      <c r="K111" s="108"/>
      <c r="L111" s="107">
        <f>IF(Simulador!$T$40=1,0,J111*Simulador!$W$38*1.16)</f>
        <v>0</v>
      </c>
      <c r="M111" s="107"/>
      <c r="N111" s="111"/>
      <c r="O111" s="13"/>
      <c r="P111" s="664">
        <f t="shared" si="51"/>
      </c>
      <c r="Q111" s="3"/>
      <c r="R111" s="107">
        <f t="shared" si="57"/>
        <v>0</v>
      </c>
      <c r="S111" s="107"/>
      <c r="T111" s="107">
        <f>_xlfn.IFERROR(IF(Simulador!$U$29=1,0,IF($B111&lt;=0,0,$B111*Simulador!$AA$42)),0)</f>
        <v>0</v>
      </c>
      <c r="U111" s="107"/>
      <c r="V111" s="107">
        <f>_xlfn.IFERROR(IF(Simulador!$U$29=1,0,IF($B111&lt;=0,0,IF(Simulador!$D$22&gt;0,Simulador!$D$22,Simulador!$O$24)*Simulador!$AA$43)),0)</f>
        <v>0</v>
      </c>
      <c r="W111" s="107"/>
      <c r="X111" s="107"/>
      <c r="Y111" s="107">
        <f t="shared" si="52"/>
        <v>0</v>
      </c>
      <c r="Z111" s="14"/>
      <c r="AA111" s="19">
        <f>IF(B111&lt;=0,0,Simulador!$I$42)</f>
        <v>0</v>
      </c>
      <c r="AB111" s="24"/>
      <c r="AC111" s="303">
        <v>8</v>
      </c>
      <c r="AD111" s="295">
        <v>1</v>
      </c>
      <c r="AE111" s="400">
        <f t="shared" si="58"/>
        <v>0</v>
      </c>
      <c r="AF111" s="279">
        <f t="shared" si="59"/>
        <v>0</v>
      </c>
      <c r="AG111" s="279">
        <f t="shared" si="60"/>
        <v>0</v>
      </c>
      <c r="AH111" s="418">
        <f t="shared" si="61"/>
        <v>0</v>
      </c>
      <c r="AI111" s="296">
        <f>IF(Simulador!$T$67=1,'Tabla de amortizacion'!AJ111,'Tabla de amortizacion'!AR111)</f>
        <v>0.09</v>
      </c>
      <c r="AJ111" s="297">
        <f>IF(AJ110=$AM$4,AJ110,IF(AJ110-0.25%&lt;=$AM$4,$AM$4,AJ110-0.25%))</f>
        <v>0.09</v>
      </c>
      <c r="AK111" s="298">
        <f t="shared" si="62"/>
        <v>0</v>
      </c>
      <c r="AL111" s="298"/>
      <c r="AM111" s="297">
        <f t="shared" si="46"/>
        <v>0.092</v>
      </c>
      <c r="AN111" s="520">
        <f t="shared" si="47"/>
        <v>0.092</v>
      </c>
      <c r="AO111" s="520">
        <f t="shared" si="48"/>
        <v>0.092</v>
      </c>
      <c r="AP111" s="299">
        <v>0</v>
      </c>
      <c r="AQ111" s="414">
        <f t="shared" si="63"/>
        <v>0</v>
      </c>
      <c r="AR111" s="300">
        <f>IF(AND(Simulador!$T$67=2,Simulador!$T$61=1),AL111,IF(AND(Simulador!$T$67=2,Simulador!$T$61=2),AM111,IF(AND(Simulador!$T$67=2,Simulador!$T$61=3),AN111,AO111)))</f>
        <v>0.092</v>
      </c>
      <c r="AS111" s="281"/>
      <c r="AT111" s="70">
        <f t="shared" si="72"/>
        <v>0</v>
      </c>
      <c r="AU111" s="70">
        <f t="shared" si="64"/>
        <v>0</v>
      </c>
      <c r="AV111" s="71">
        <f t="shared" si="53"/>
        <v>0</v>
      </c>
      <c r="AW111" s="70">
        <f t="shared" si="54"/>
        <v>0</v>
      </c>
      <c r="AX111" s="70">
        <f t="shared" si="65"/>
        <v>0</v>
      </c>
      <c r="AY111" s="72">
        <f t="shared" si="55"/>
      </c>
      <c r="AZ111" s="70">
        <f>_xlfn.IFERROR(IF(Simulador!$U$29=1,0,IF($AT111&lt;=0.01,0,$AT111*Simulador!$AA$42)),0)+_xlfn.IFERROR(IF(Simulador!$U$29=1,0,IF($AT111&lt;=0.01,0,IF(Simulador!$D$22&gt;0,Simulador!$D$22,Simulador!$O$24)*Simulador!$AA$43)),0)</f>
        <v>0</v>
      </c>
      <c r="BA111" s="73">
        <f>IF(AT111&lt;=0,0,$BA$27)</f>
        <v>0</v>
      </c>
      <c r="BB111" s="70">
        <f t="shared" si="56"/>
        <v>0</v>
      </c>
      <c r="BC111">
        <f t="shared" si="66"/>
        <v>0</v>
      </c>
      <c r="BD111" s="431">
        <f t="shared" si="67"/>
      </c>
      <c r="BE111" s="432">
        <f t="shared" si="68"/>
        <v>0</v>
      </c>
      <c r="BF111" s="69">
        <v>97</v>
      </c>
      <c r="BG111" s="38"/>
      <c r="BH111" s="438"/>
      <c r="BJ111" s="69"/>
      <c r="BM111" s="432"/>
    </row>
    <row r="112" spans="1:65" ht="12">
      <c r="A112" s="531">
        <v>98</v>
      </c>
      <c r="B112" s="106">
        <f t="shared" si="69"/>
        <v>0</v>
      </c>
      <c r="C112" s="106"/>
      <c r="D112" s="107">
        <f>IF(B112+F112-D111&lt;=0,B112+F112,IF(AND(OR(Simulador!$U$38=2,Simulador!$U$38=7),J111=0),D111*(1+AA112),IF($AE$3=2,B112*AQ112,D111*(1+AA112))))</f>
        <v>0</v>
      </c>
      <c r="E112" s="107"/>
      <c r="F112" s="107">
        <f t="shared" si="50"/>
        <v>0</v>
      </c>
      <c r="G112" s="107"/>
      <c r="H112" s="107">
        <f t="shared" si="70"/>
        <v>0</v>
      </c>
      <c r="I112" s="108"/>
      <c r="J112" s="109"/>
      <c r="K112" s="108"/>
      <c r="L112" s="107">
        <f>IF(Simulador!$T$40=1,0,J112*Simulador!$W$38*1.16)</f>
        <v>0</v>
      </c>
      <c r="M112" s="107"/>
      <c r="N112" s="110">
        <f>IF(B112-H112=0,0,N110*(1+(Simulador!$AF$76)))</f>
        <v>0</v>
      </c>
      <c r="O112" s="13"/>
      <c r="P112" s="664">
        <f t="shared" si="51"/>
      </c>
      <c r="Q112" s="3"/>
      <c r="R112" s="107">
        <f t="shared" si="57"/>
        <v>0</v>
      </c>
      <c r="S112" s="107"/>
      <c r="T112" s="107">
        <f>_xlfn.IFERROR(IF(Simulador!$U$29=1,0,IF($B112&lt;=0,0,$B112*Simulador!$AA$42)),0)</f>
        <v>0</v>
      </c>
      <c r="U112" s="107"/>
      <c r="V112" s="107">
        <f>_xlfn.IFERROR(IF(Simulador!$U$29=1,0,IF($B112&lt;=0,0,IF(Simulador!$D$22&gt;0,Simulador!$D$22,Simulador!$O$24)*Simulador!$AA$43)),0)</f>
        <v>0</v>
      </c>
      <c r="W112" s="107"/>
      <c r="X112" s="107"/>
      <c r="Y112" s="107">
        <f t="shared" si="52"/>
        <v>0</v>
      </c>
      <c r="Z112" s="14"/>
      <c r="AA112" s="19"/>
      <c r="AB112" s="24"/>
      <c r="AC112" s="303">
        <v>8</v>
      </c>
      <c r="AD112" s="301">
        <v>2</v>
      </c>
      <c r="AE112" s="400">
        <f t="shared" si="58"/>
        <v>0</v>
      </c>
      <c r="AF112" s="279">
        <f t="shared" si="59"/>
        <v>0</v>
      </c>
      <c r="AG112" s="279">
        <f t="shared" si="60"/>
        <v>0</v>
      </c>
      <c r="AH112" s="418">
        <f t="shared" si="61"/>
        <v>0</v>
      </c>
      <c r="AI112" s="296">
        <f>IF(Simulador!$T$67=1,'Tabla de amortizacion'!AJ112,'Tabla de amortizacion'!AR112)</f>
        <v>0.09</v>
      </c>
      <c r="AJ112" s="297">
        <f>AJ111</f>
        <v>0.09</v>
      </c>
      <c r="AK112" s="298">
        <f t="shared" si="62"/>
        <v>0</v>
      </c>
      <c r="AL112" s="298"/>
      <c r="AM112" s="297">
        <f t="shared" si="46"/>
        <v>0.092</v>
      </c>
      <c r="AN112" s="520">
        <f t="shared" si="47"/>
        <v>0.092</v>
      </c>
      <c r="AO112" s="520">
        <f t="shared" si="48"/>
        <v>0.092</v>
      </c>
      <c r="AP112" s="299">
        <v>0</v>
      </c>
      <c r="AQ112" s="414">
        <f t="shared" si="63"/>
        <v>0</v>
      </c>
      <c r="AR112" s="300">
        <f>IF(AND(Simulador!$T$67=2,Simulador!$T$61=1),AL112,IF(AND(Simulador!$T$67=2,Simulador!$T$61=2),AM112,IF(AND(Simulador!$T$67=2,Simulador!$T$61=3),AN112,AO112)))</f>
        <v>0.092</v>
      </c>
      <c r="AS112" s="281"/>
      <c r="AT112" s="70">
        <f t="shared" si="72"/>
        <v>0</v>
      </c>
      <c r="AU112" s="70">
        <f t="shared" si="64"/>
        <v>0</v>
      </c>
      <c r="AV112" s="71">
        <f t="shared" si="53"/>
        <v>0</v>
      </c>
      <c r="AW112" s="70">
        <f t="shared" si="54"/>
        <v>0</v>
      </c>
      <c r="AX112" s="70">
        <f t="shared" si="65"/>
        <v>0</v>
      </c>
      <c r="AY112" s="72">
        <f t="shared" si="55"/>
      </c>
      <c r="AZ112" s="70">
        <f>_xlfn.IFERROR(IF(Simulador!$U$29=1,0,IF($AT112&lt;=0.01,0,$AT112*Simulador!$AA$42)),0)+_xlfn.IFERROR(IF(Simulador!$U$29=1,0,IF($AT112&lt;=0.01,0,IF(Simulador!$D$22&gt;0,Simulador!$D$22,Simulador!$O$24)*Simulador!$AA$43)),0)</f>
        <v>0</v>
      </c>
      <c r="BA112" s="73"/>
      <c r="BB112" s="70">
        <f t="shared" si="56"/>
        <v>0</v>
      </c>
      <c r="BC112">
        <f t="shared" si="66"/>
        <v>0</v>
      </c>
      <c r="BD112" s="431">
        <f t="shared" si="67"/>
      </c>
      <c r="BE112" s="432">
        <f t="shared" si="68"/>
        <v>0</v>
      </c>
      <c r="BF112" s="69">
        <v>98</v>
      </c>
      <c r="BG112" s="38"/>
      <c r="BH112" s="438"/>
      <c r="BJ112" s="69"/>
      <c r="BM112" s="432"/>
    </row>
    <row r="113" spans="1:65" ht="12">
      <c r="A113" s="531">
        <v>99</v>
      </c>
      <c r="B113" s="106">
        <f t="shared" si="69"/>
        <v>0</v>
      </c>
      <c r="C113" s="106"/>
      <c r="D113" s="107">
        <f>IF(B113+F113-D112&lt;=0,B113+F113,IF(AND(OR(Simulador!$U$38=2,Simulador!$U$38=7),J112=0),D112*(1+AA113),IF($AE$3=2,B113*AQ113,D112*(1+AA113))))</f>
        <v>0</v>
      </c>
      <c r="E113" s="107"/>
      <c r="F113" s="107">
        <f t="shared" si="50"/>
        <v>0</v>
      </c>
      <c r="G113" s="107"/>
      <c r="H113" s="107">
        <f t="shared" si="70"/>
        <v>0</v>
      </c>
      <c r="I113" s="108"/>
      <c r="J113" s="109"/>
      <c r="K113" s="108"/>
      <c r="L113" s="107">
        <f>IF(Simulador!$T$40=1,0,J113*Simulador!$W$38*1.16)</f>
        <v>0</v>
      </c>
      <c r="M113" s="107"/>
      <c r="N113" s="111"/>
      <c r="O113" s="13"/>
      <c r="P113" s="664">
        <f t="shared" si="51"/>
      </c>
      <c r="Q113" s="3"/>
      <c r="R113" s="107">
        <f t="shared" si="57"/>
        <v>0</v>
      </c>
      <c r="S113" s="107"/>
      <c r="T113" s="107">
        <f>_xlfn.IFERROR(IF(Simulador!$U$29=1,0,IF($B113&lt;=0,0,$B113*Simulador!$AA$42)),0)</f>
        <v>0</v>
      </c>
      <c r="U113" s="107"/>
      <c r="V113" s="107">
        <f>_xlfn.IFERROR(IF(Simulador!$U$29=1,0,IF($B113&lt;=0,0,IF(Simulador!$D$22&gt;0,Simulador!$D$22,Simulador!$O$24)*Simulador!$AA$43)),0)</f>
        <v>0</v>
      </c>
      <c r="W113" s="107"/>
      <c r="X113" s="107"/>
      <c r="Y113" s="107">
        <f t="shared" si="52"/>
        <v>0</v>
      </c>
      <c r="Z113" s="14"/>
      <c r="AA113" s="19"/>
      <c r="AB113" s="24"/>
      <c r="AC113" s="303">
        <v>8</v>
      </c>
      <c r="AD113" s="301">
        <v>3</v>
      </c>
      <c r="AE113" s="400">
        <f t="shared" si="58"/>
        <v>0</v>
      </c>
      <c r="AF113" s="279">
        <f t="shared" si="59"/>
        <v>0</v>
      </c>
      <c r="AG113" s="279">
        <f t="shared" si="60"/>
        <v>0</v>
      </c>
      <c r="AH113" s="418">
        <f t="shared" si="61"/>
        <v>0</v>
      </c>
      <c r="AI113" s="296">
        <f>IF(Simulador!$T$67=1,'Tabla de amortizacion'!AJ113,'Tabla de amortizacion'!AR113)</f>
        <v>0.09</v>
      </c>
      <c r="AJ113" s="297">
        <f aca="true" t="shared" si="74" ref="AJ113:AJ122">AJ112</f>
        <v>0.09</v>
      </c>
      <c r="AK113" s="298">
        <f t="shared" si="62"/>
        <v>0</v>
      </c>
      <c r="AL113" s="298"/>
      <c r="AM113" s="297">
        <f t="shared" si="46"/>
        <v>0.092</v>
      </c>
      <c r="AN113" s="520">
        <f t="shared" si="47"/>
        <v>0.092</v>
      </c>
      <c r="AO113" s="520">
        <f t="shared" si="48"/>
        <v>0.092</v>
      </c>
      <c r="AP113" s="299">
        <v>0</v>
      </c>
      <c r="AQ113" s="414">
        <f t="shared" si="63"/>
        <v>0</v>
      </c>
      <c r="AR113" s="300">
        <f>IF(AND(Simulador!$T$67=2,Simulador!$T$61=1),AL113,IF(AND(Simulador!$T$67=2,Simulador!$T$61=2),AM113,IF(AND(Simulador!$T$67=2,Simulador!$T$61=3),AN113,AO113)))</f>
        <v>0.092</v>
      </c>
      <c r="AS113" s="281"/>
      <c r="AT113" s="70">
        <f t="shared" si="72"/>
        <v>0</v>
      </c>
      <c r="AU113" s="70">
        <f t="shared" si="64"/>
        <v>0</v>
      </c>
      <c r="AV113" s="71">
        <f t="shared" si="53"/>
        <v>0</v>
      </c>
      <c r="AW113" s="70">
        <f t="shared" si="54"/>
        <v>0</v>
      </c>
      <c r="AX113" s="70">
        <f t="shared" si="65"/>
        <v>0</v>
      </c>
      <c r="AY113" s="72">
        <f t="shared" si="55"/>
      </c>
      <c r="AZ113" s="70">
        <f>_xlfn.IFERROR(IF(Simulador!$U$29=1,0,IF($AT113&lt;=0.01,0,$AT113*Simulador!$AA$42)),0)+_xlfn.IFERROR(IF(Simulador!$U$29=1,0,IF($AT113&lt;=0.01,0,IF(Simulador!$D$22&gt;0,Simulador!$D$22,Simulador!$O$24)*Simulador!$AA$43)),0)</f>
        <v>0</v>
      </c>
      <c r="BA113" s="73"/>
      <c r="BB113" s="70">
        <f t="shared" si="56"/>
        <v>0</v>
      </c>
      <c r="BC113">
        <f t="shared" si="66"/>
        <v>0</v>
      </c>
      <c r="BD113" s="431">
        <f t="shared" si="67"/>
      </c>
      <c r="BE113" s="432">
        <f t="shared" si="68"/>
        <v>0</v>
      </c>
      <c r="BF113" s="69">
        <v>99</v>
      </c>
      <c r="BG113" s="38"/>
      <c r="BH113" s="438"/>
      <c r="BJ113" s="69"/>
      <c r="BM113" s="432"/>
    </row>
    <row r="114" spans="1:65" ht="12">
      <c r="A114" s="531">
        <v>100</v>
      </c>
      <c r="B114" s="106">
        <f t="shared" si="69"/>
        <v>0</v>
      </c>
      <c r="C114" s="106"/>
      <c r="D114" s="107">
        <f>IF(B114+F114-D113&lt;=0,B114+F114,IF(AND(OR(Simulador!$U$38=2,Simulador!$U$38=7),J113=0),D113*(1+AA114),IF($AE$3=2,B114*AQ114,D113*(1+AA114))))</f>
        <v>0</v>
      </c>
      <c r="E114" s="107"/>
      <c r="F114" s="107">
        <f t="shared" si="50"/>
        <v>0</v>
      </c>
      <c r="G114" s="107"/>
      <c r="H114" s="107">
        <f t="shared" si="70"/>
        <v>0</v>
      </c>
      <c r="I114" s="108"/>
      <c r="J114" s="109"/>
      <c r="K114" s="108"/>
      <c r="L114" s="107">
        <f>IF(Simulador!$T$40=1,0,J114*Simulador!$W$38*1.16)</f>
        <v>0</v>
      </c>
      <c r="M114" s="107"/>
      <c r="N114" s="110">
        <f>IF(B114-H114=0,0,N112)</f>
        <v>0</v>
      </c>
      <c r="O114" s="13"/>
      <c r="P114" s="664">
        <f t="shared" si="51"/>
      </c>
      <c r="Q114" s="3"/>
      <c r="R114" s="107">
        <f t="shared" si="57"/>
        <v>0</v>
      </c>
      <c r="S114" s="107"/>
      <c r="T114" s="107">
        <f>_xlfn.IFERROR(IF(Simulador!$U$29=1,0,IF($B114&lt;=0,0,$B114*Simulador!$AA$42)),0)</f>
        <v>0</v>
      </c>
      <c r="U114" s="107"/>
      <c r="V114" s="107">
        <f>_xlfn.IFERROR(IF(Simulador!$U$29=1,0,IF($B114&lt;=0,0,IF(Simulador!$D$22&gt;0,Simulador!$D$22,Simulador!$O$24)*Simulador!$AA$43)),0)</f>
        <v>0</v>
      </c>
      <c r="W114" s="107"/>
      <c r="X114" s="107"/>
      <c r="Y114" s="107">
        <f t="shared" si="52"/>
        <v>0</v>
      </c>
      <c r="Z114" s="14"/>
      <c r="AA114" s="19"/>
      <c r="AB114" s="24"/>
      <c r="AC114" s="303">
        <v>8</v>
      </c>
      <c r="AD114" s="295">
        <v>4</v>
      </c>
      <c r="AE114" s="400">
        <f t="shared" si="58"/>
        <v>0</v>
      </c>
      <c r="AF114" s="279">
        <f t="shared" si="59"/>
        <v>0</v>
      </c>
      <c r="AG114" s="279">
        <f t="shared" si="60"/>
        <v>0</v>
      </c>
      <c r="AH114" s="418">
        <f t="shared" si="61"/>
        <v>0</v>
      </c>
      <c r="AI114" s="296">
        <f>IF(Simulador!$T$67=1,'Tabla de amortizacion'!AJ114,'Tabla de amortizacion'!AR114)</f>
        <v>0.09</v>
      </c>
      <c r="AJ114" s="297">
        <f t="shared" si="74"/>
        <v>0.09</v>
      </c>
      <c r="AK114" s="298">
        <f t="shared" si="62"/>
        <v>0</v>
      </c>
      <c r="AL114" s="298"/>
      <c r="AM114" s="297">
        <f t="shared" si="46"/>
        <v>0.092</v>
      </c>
      <c r="AN114" s="520">
        <f t="shared" si="47"/>
        <v>0.092</v>
      </c>
      <c r="AO114" s="520">
        <f t="shared" si="48"/>
        <v>0.092</v>
      </c>
      <c r="AP114" s="299">
        <v>0</v>
      </c>
      <c r="AQ114" s="414">
        <f t="shared" si="63"/>
        <v>0</v>
      </c>
      <c r="AR114" s="300">
        <f>IF(AND(Simulador!$T$67=2,Simulador!$T$61=1),AL114,IF(AND(Simulador!$T$67=2,Simulador!$T$61=2),AM114,IF(AND(Simulador!$T$67=2,Simulador!$T$61=3),AN114,AO114)))</f>
        <v>0.092</v>
      </c>
      <c r="AS114" s="281"/>
      <c r="AT114" s="70">
        <f t="shared" si="72"/>
        <v>0</v>
      </c>
      <c r="AU114" s="70">
        <f t="shared" si="64"/>
        <v>0</v>
      </c>
      <c r="AV114" s="71">
        <f t="shared" si="53"/>
        <v>0</v>
      </c>
      <c r="AW114" s="70">
        <f t="shared" si="54"/>
        <v>0</v>
      </c>
      <c r="AX114" s="70">
        <f t="shared" si="65"/>
        <v>0</v>
      </c>
      <c r="AY114" s="72">
        <f t="shared" si="55"/>
      </c>
      <c r="AZ114" s="70">
        <f>_xlfn.IFERROR(IF(Simulador!$U$29=1,0,IF($AT114&lt;=0.01,0,$AT114*Simulador!$AA$42)),0)+_xlfn.IFERROR(IF(Simulador!$U$29=1,0,IF($AT114&lt;=0.01,0,IF(Simulador!$D$22&gt;0,Simulador!$D$22,Simulador!$O$24)*Simulador!$AA$43)),0)</f>
        <v>0</v>
      </c>
      <c r="BA114" s="73"/>
      <c r="BB114" s="70">
        <f t="shared" si="56"/>
        <v>0</v>
      </c>
      <c r="BC114">
        <f t="shared" si="66"/>
        <v>0</v>
      </c>
      <c r="BD114" s="431">
        <f t="shared" si="67"/>
      </c>
      <c r="BE114" s="432">
        <f t="shared" si="68"/>
        <v>0</v>
      </c>
      <c r="BF114" s="69">
        <v>100</v>
      </c>
      <c r="BG114" s="38"/>
      <c r="BH114" s="438"/>
      <c r="BJ114" s="69"/>
      <c r="BM114" s="432"/>
    </row>
    <row r="115" spans="1:65" ht="12">
      <c r="A115" s="531">
        <v>101</v>
      </c>
      <c r="B115" s="106">
        <f t="shared" si="69"/>
        <v>0</v>
      </c>
      <c r="C115" s="106"/>
      <c r="D115" s="107">
        <f>IF(B115+F115-D114&lt;=0,B115+F115,IF(AND(OR(Simulador!$U$38=2,Simulador!$U$38=7),J114=0),D114*(1+AA115),IF($AE$3=2,B115*AQ115,D114*(1+AA115))))</f>
        <v>0</v>
      </c>
      <c r="E115" s="107"/>
      <c r="F115" s="107">
        <f t="shared" si="50"/>
        <v>0</v>
      </c>
      <c r="G115" s="107"/>
      <c r="H115" s="107">
        <f t="shared" si="70"/>
        <v>0</v>
      </c>
      <c r="I115" s="108"/>
      <c r="J115" s="109"/>
      <c r="K115" s="108"/>
      <c r="L115" s="107">
        <f>IF(Simulador!$T$40=1,0,J115*Simulador!$W$38*1.16)</f>
        <v>0</v>
      </c>
      <c r="M115" s="107"/>
      <c r="N115" s="111"/>
      <c r="O115" s="13"/>
      <c r="P115" s="664">
        <f t="shared" si="51"/>
      </c>
      <c r="Q115" s="3"/>
      <c r="R115" s="107">
        <f t="shared" si="57"/>
        <v>0</v>
      </c>
      <c r="S115" s="107"/>
      <c r="T115" s="107">
        <f>_xlfn.IFERROR(IF(Simulador!$U$29=1,0,IF($B115&lt;=0,0,$B115*Simulador!$AA$42)),0)</f>
        <v>0</v>
      </c>
      <c r="U115" s="107"/>
      <c r="V115" s="107">
        <f>_xlfn.IFERROR(IF(Simulador!$U$29=1,0,IF($B115&lt;=0,0,IF(Simulador!$D$22&gt;0,Simulador!$D$22,Simulador!$O$24)*Simulador!$AA$43)),0)</f>
        <v>0</v>
      </c>
      <c r="W115" s="107"/>
      <c r="X115" s="107"/>
      <c r="Y115" s="107">
        <f t="shared" si="52"/>
        <v>0</v>
      </c>
      <c r="Z115" s="14"/>
      <c r="AA115" s="19"/>
      <c r="AB115" s="24"/>
      <c r="AC115" s="303">
        <v>8</v>
      </c>
      <c r="AD115" s="295">
        <v>5</v>
      </c>
      <c r="AE115" s="400">
        <f t="shared" si="58"/>
        <v>0</v>
      </c>
      <c r="AF115" s="279">
        <f t="shared" si="59"/>
        <v>0</v>
      </c>
      <c r="AG115" s="279">
        <f t="shared" si="60"/>
        <v>0</v>
      </c>
      <c r="AH115" s="418">
        <f t="shared" si="61"/>
        <v>0</v>
      </c>
      <c r="AI115" s="296">
        <f>IF(Simulador!$T$67=1,'Tabla de amortizacion'!AJ115,'Tabla de amortizacion'!AR115)</f>
        <v>0.09</v>
      </c>
      <c r="AJ115" s="297">
        <f t="shared" si="74"/>
        <v>0.09</v>
      </c>
      <c r="AK115" s="298">
        <f t="shared" si="62"/>
        <v>0</v>
      </c>
      <c r="AL115" s="298"/>
      <c r="AM115" s="297">
        <f t="shared" si="46"/>
        <v>0.092</v>
      </c>
      <c r="AN115" s="520">
        <f t="shared" si="47"/>
        <v>0.092</v>
      </c>
      <c r="AO115" s="520">
        <f t="shared" si="48"/>
        <v>0.092</v>
      </c>
      <c r="AP115" s="299">
        <v>0</v>
      </c>
      <c r="AQ115" s="414">
        <f t="shared" si="63"/>
        <v>0</v>
      </c>
      <c r="AR115" s="300">
        <f>IF(AND(Simulador!$T$67=2,Simulador!$T$61=1),AL115,IF(AND(Simulador!$T$67=2,Simulador!$T$61=2),AM115,IF(AND(Simulador!$T$67=2,Simulador!$T$61=3),AN115,AO115)))</f>
        <v>0.092</v>
      </c>
      <c r="AS115" s="281"/>
      <c r="AT115" s="70">
        <f t="shared" si="72"/>
        <v>0</v>
      </c>
      <c r="AU115" s="70">
        <f t="shared" si="64"/>
        <v>0</v>
      </c>
      <c r="AV115" s="71">
        <f t="shared" si="53"/>
        <v>0</v>
      </c>
      <c r="AW115" s="70">
        <f t="shared" si="54"/>
        <v>0</v>
      </c>
      <c r="AX115" s="70">
        <f t="shared" si="65"/>
        <v>0</v>
      </c>
      <c r="AY115" s="72">
        <f t="shared" si="55"/>
      </c>
      <c r="AZ115" s="70">
        <f>_xlfn.IFERROR(IF(Simulador!$U$29=1,0,IF($AT115&lt;=0.01,0,$AT115*Simulador!$AA$42)),0)+_xlfn.IFERROR(IF(Simulador!$U$29=1,0,IF($AT115&lt;=0.01,0,IF(Simulador!$D$22&gt;0,Simulador!$D$22,Simulador!$O$24)*Simulador!$AA$43)),0)</f>
        <v>0</v>
      </c>
      <c r="BA115" s="73"/>
      <c r="BB115" s="70">
        <f t="shared" si="56"/>
        <v>0</v>
      </c>
      <c r="BC115">
        <f t="shared" si="66"/>
        <v>0</v>
      </c>
      <c r="BD115" s="431">
        <f t="shared" si="67"/>
      </c>
      <c r="BE115" s="432">
        <f t="shared" si="68"/>
        <v>0</v>
      </c>
      <c r="BF115" s="69">
        <v>101</v>
      </c>
      <c r="BG115" s="38"/>
      <c r="BH115" s="438"/>
      <c r="BJ115" s="69"/>
      <c r="BM115" s="432"/>
    </row>
    <row r="116" spans="1:65" ht="12">
      <c r="A116" s="531">
        <v>102</v>
      </c>
      <c r="B116" s="106">
        <f t="shared" si="69"/>
        <v>0</v>
      </c>
      <c r="C116" s="106"/>
      <c r="D116" s="107">
        <f>IF(B116+F116-D115&lt;=0,B116+F116,IF(AND(OR(Simulador!$U$38=2,Simulador!$U$38=7),J115=0),D115*(1+AA116),IF($AE$3=2,B116*AQ116,D115*(1+AA116))))</f>
        <v>0</v>
      </c>
      <c r="E116" s="107"/>
      <c r="F116" s="107">
        <f t="shared" si="50"/>
        <v>0</v>
      </c>
      <c r="G116" s="107"/>
      <c r="H116" s="107">
        <f t="shared" si="70"/>
        <v>0</v>
      </c>
      <c r="I116" s="108"/>
      <c r="J116" s="109"/>
      <c r="K116" s="108"/>
      <c r="L116" s="107">
        <f>IF(Simulador!$T$40=1,0,J116*Simulador!$W$38*1.16)</f>
        <v>0</v>
      </c>
      <c r="M116" s="107"/>
      <c r="N116" s="110">
        <f>IF(B116-H116=0,0,N114)</f>
        <v>0</v>
      </c>
      <c r="O116" s="13"/>
      <c r="P116" s="664">
        <f t="shared" si="51"/>
      </c>
      <c r="Q116" s="3"/>
      <c r="R116" s="107">
        <f t="shared" si="57"/>
        <v>0</v>
      </c>
      <c r="S116" s="107"/>
      <c r="T116" s="107">
        <f>_xlfn.IFERROR(IF(Simulador!$U$29=1,0,IF($B116&lt;=0,0,$B116*Simulador!$AA$42)),0)</f>
        <v>0</v>
      </c>
      <c r="U116" s="107"/>
      <c r="V116" s="107">
        <f>_xlfn.IFERROR(IF(Simulador!$U$29=1,0,IF($B116&lt;=0,0,IF(Simulador!$D$22&gt;0,Simulador!$D$22,Simulador!$O$24)*Simulador!$AA$43)),0)</f>
        <v>0</v>
      </c>
      <c r="W116" s="107"/>
      <c r="X116" s="107"/>
      <c r="Y116" s="107">
        <f t="shared" si="52"/>
        <v>0</v>
      </c>
      <c r="Z116" s="14"/>
      <c r="AA116" s="19"/>
      <c r="AB116" s="24"/>
      <c r="AC116" s="303">
        <v>8</v>
      </c>
      <c r="AD116" s="295">
        <v>6</v>
      </c>
      <c r="AE116" s="400">
        <f t="shared" si="58"/>
        <v>0</v>
      </c>
      <c r="AF116" s="279">
        <f t="shared" si="59"/>
        <v>0</v>
      </c>
      <c r="AG116" s="279">
        <f t="shared" si="60"/>
        <v>0</v>
      </c>
      <c r="AH116" s="418">
        <f t="shared" si="61"/>
        <v>0</v>
      </c>
      <c r="AI116" s="296">
        <f>IF(Simulador!$T$67=1,'Tabla de amortizacion'!AJ116,'Tabla de amortizacion'!AR116)</f>
        <v>0.09</v>
      </c>
      <c r="AJ116" s="297">
        <f t="shared" si="74"/>
        <v>0.09</v>
      </c>
      <c r="AK116" s="298">
        <f t="shared" si="62"/>
        <v>0</v>
      </c>
      <c r="AL116" s="298"/>
      <c r="AM116" s="297">
        <f t="shared" si="46"/>
        <v>0.092</v>
      </c>
      <c r="AN116" s="520">
        <f t="shared" si="47"/>
        <v>0.092</v>
      </c>
      <c r="AO116" s="520">
        <f t="shared" si="48"/>
        <v>0.092</v>
      </c>
      <c r="AP116" s="299">
        <v>0</v>
      </c>
      <c r="AQ116" s="414">
        <f t="shared" si="63"/>
        <v>0</v>
      </c>
      <c r="AR116" s="300">
        <f>IF(AND(Simulador!$T$67=2,Simulador!$T$61=1),AL116,IF(AND(Simulador!$T$67=2,Simulador!$T$61=2),AM116,IF(AND(Simulador!$T$67=2,Simulador!$T$61=3),AN116,AO116)))</f>
        <v>0.092</v>
      </c>
      <c r="AS116" s="281"/>
      <c r="AT116" s="70">
        <f t="shared" si="72"/>
        <v>0</v>
      </c>
      <c r="AU116" s="70">
        <f t="shared" si="64"/>
        <v>0</v>
      </c>
      <c r="AV116" s="71">
        <f t="shared" si="53"/>
        <v>0</v>
      </c>
      <c r="AW116" s="70">
        <f t="shared" si="54"/>
        <v>0</v>
      </c>
      <c r="AX116" s="70">
        <f t="shared" si="65"/>
        <v>0</v>
      </c>
      <c r="AY116" s="72">
        <f t="shared" si="55"/>
      </c>
      <c r="AZ116" s="70">
        <f>_xlfn.IFERROR(IF(Simulador!$U$29=1,0,IF($AT116&lt;=0.01,0,$AT116*Simulador!$AA$42)),0)+_xlfn.IFERROR(IF(Simulador!$U$29=1,0,IF($AT116&lt;=0.01,0,IF(Simulador!$D$22&gt;0,Simulador!$D$22,Simulador!$O$24)*Simulador!$AA$43)),0)</f>
        <v>0</v>
      </c>
      <c r="BA116" s="73"/>
      <c r="BB116" s="70">
        <f t="shared" si="56"/>
        <v>0</v>
      </c>
      <c r="BC116">
        <f t="shared" si="66"/>
        <v>0</v>
      </c>
      <c r="BD116" s="431">
        <f t="shared" si="67"/>
      </c>
      <c r="BE116" s="432">
        <f t="shared" si="68"/>
        <v>0</v>
      </c>
      <c r="BF116" s="69">
        <v>102</v>
      </c>
      <c r="BG116" s="38"/>
      <c r="BH116" s="438"/>
      <c r="BJ116" s="69"/>
      <c r="BM116" s="432"/>
    </row>
    <row r="117" spans="1:65" ht="12">
      <c r="A117" s="531">
        <v>103</v>
      </c>
      <c r="B117" s="106">
        <f t="shared" si="69"/>
        <v>0</v>
      </c>
      <c r="C117" s="106"/>
      <c r="D117" s="107">
        <f>IF(B117+F117-D116&lt;=0,B117+F117,IF(AND(OR(Simulador!$U$38=2,Simulador!$U$38=7),J116=0),D116*(1+AA117),IF($AE$3=2,B117*AQ117,D116*(1+AA117))))</f>
        <v>0</v>
      </c>
      <c r="E117" s="107"/>
      <c r="F117" s="107">
        <f t="shared" si="50"/>
        <v>0</v>
      </c>
      <c r="G117" s="107"/>
      <c r="H117" s="107">
        <f t="shared" si="70"/>
        <v>0</v>
      </c>
      <c r="I117" s="108"/>
      <c r="J117" s="109"/>
      <c r="K117" s="108"/>
      <c r="L117" s="107">
        <f>IF(Simulador!$T$40=1,0,J117*Simulador!$W$38*1.16)</f>
        <v>0</v>
      </c>
      <c r="M117" s="107"/>
      <c r="N117" s="111"/>
      <c r="O117" s="13"/>
      <c r="P117" s="664">
        <f t="shared" si="51"/>
      </c>
      <c r="Q117" s="3"/>
      <c r="R117" s="107">
        <f t="shared" si="57"/>
        <v>0</v>
      </c>
      <c r="S117" s="107"/>
      <c r="T117" s="107">
        <f>_xlfn.IFERROR(IF(Simulador!$U$29=1,0,IF($B117&lt;=0,0,$B117*Simulador!$AA$42)),0)</f>
        <v>0</v>
      </c>
      <c r="U117" s="107"/>
      <c r="V117" s="107">
        <f>_xlfn.IFERROR(IF(Simulador!$U$29=1,0,IF($B117&lt;=0,0,IF(Simulador!$D$22&gt;0,Simulador!$D$22,Simulador!$O$24)*Simulador!$AA$43)),0)</f>
        <v>0</v>
      </c>
      <c r="W117" s="107"/>
      <c r="X117" s="107"/>
      <c r="Y117" s="107">
        <f t="shared" si="52"/>
        <v>0</v>
      </c>
      <c r="Z117" s="14"/>
      <c r="AA117" s="19"/>
      <c r="AB117" s="24"/>
      <c r="AC117" s="303">
        <v>8</v>
      </c>
      <c r="AD117" s="295">
        <v>7</v>
      </c>
      <c r="AE117" s="400">
        <f t="shared" si="58"/>
        <v>0</v>
      </c>
      <c r="AF117" s="279">
        <f t="shared" si="59"/>
        <v>0</v>
      </c>
      <c r="AG117" s="279">
        <f t="shared" si="60"/>
        <v>0</v>
      </c>
      <c r="AH117" s="418">
        <f t="shared" si="61"/>
        <v>0</v>
      </c>
      <c r="AI117" s="296">
        <f>IF(Simulador!$T$67=1,'Tabla de amortizacion'!AJ117,'Tabla de amortizacion'!AR117)</f>
        <v>0.09</v>
      </c>
      <c r="AJ117" s="297">
        <f t="shared" si="74"/>
        <v>0.09</v>
      </c>
      <c r="AK117" s="298">
        <f t="shared" si="62"/>
        <v>0</v>
      </c>
      <c r="AL117" s="298"/>
      <c r="AM117" s="297">
        <f t="shared" si="46"/>
        <v>0.092</v>
      </c>
      <c r="AN117" s="520">
        <f t="shared" si="47"/>
        <v>0.092</v>
      </c>
      <c r="AO117" s="520">
        <f t="shared" si="48"/>
        <v>0.092</v>
      </c>
      <c r="AP117" s="299">
        <v>0</v>
      </c>
      <c r="AQ117" s="414">
        <f t="shared" si="63"/>
        <v>0</v>
      </c>
      <c r="AR117" s="300">
        <f>IF(AND(Simulador!$T$67=2,Simulador!$T$61=1),AL117,IF(AND(Simulador!$T$67=2,Simulador!$T$61=2),AM117,IF(AND(Simulador!$T$67=2,Simulador!$T$61=3),AN117,AO117)))</f>
        <v>0.092</v>
      </c>
      <c r="AS117" s="281"/>
      <c r="AT117" s="70">
        <f t="shared" si="72"/>
        <v>0</v>
      </c>
      <c r="AU117" s="70">
        <f t="shared" si="64"/>
        <v>0</v>
      </c>
      <c r="AV117" s="71">
        <f t="shared" si="53"/>
        <v>0</v>
      </c>
      <c r="AW117" s="70">
        <f t="shared" si="54"/>
        <v>0</v>
      </c>
      <c r="AX117" s="70">
        <f t="shared" si="65"/>
        <v>0</v>
      </c>
      <c r="AY117" s="72">
        <f t="shared" si="55"/>
      </c>
      <c r="AZ117" s="70">
        <f>_xlfn.IFERROR(IF(Simulador!$U$29=1,0,IF($AT117&lt;=0.01,0,$AT117*Simulador!$AA$42)),0)+_xlfn.IFERROR(IF(Simulador!$U$29=1,0,IF($AT117&lt;=0.01,0,IF(Simulador!$D$22&gt;0,Simulador!$D$22,Simulador!$O$24)*Simulador!$AA$43)),0)</f>
        <v>0</v>
      </c>
      <c r="BA117" s="73"/>
      <c r="BB117" s="70">
        <f t="shared" si="56"/>
        <v>0</v>
      </c>
      <c r="BC117">
        <f t="shared" si="66"/>
        <v>0</v>
      </c>
      <c r="BD117" s="431">
        <f t="shared" si="67"/>
      </c>
      <c r="BE117" s="432">
        <f t="shared" si="68"/>
        <v>0</v>
      </c>
      <c r="BF117" s="69">
        <v>103</v>
      </c>
      <c r="BG117" s="38"/>
      <c r="BH117" s="438"/>
      <c r="BJ117" s="69"/>
      <c r="BM117" s="432"/>
    </row>
    <row r="118" spans="1:65" ht="12">
      <c r="A118" s="531">
        <v>104</v>
      </c>
      <c r="B118" s="106">
        <f t="shared" si="69"/>
        <v>0</v>
      </c>
      <c r="C118" s="106"/>
      <c r="D118" s="107">
        <f>IF(B118+F118-D117&lt;=0,B118+F118,IF(AND(OR(Simulador!$U$38=2,Simulador!$U$38=7),J117=0),D117*(1+AA118),IF($AE$3=2,B118*AQ118,D117*(1+AA118))))</f>
        <v>0</v>
      </c>
      <c r="E118" s="107"/>
      <c r="F118" s="107">
        <f t="shared" si="50"/>
        <v>0</v>
      </c>
      <c r="G118" s="107"/>
      <c r="H118" s="107">
        <f t="shared" si="70"/>
        <v>0</v>
      </c>
      <c r="I118" s="108"/>
      <c r="J118" s="109"/>
      <c r="K118" s="108"/>
      <c r="L118" s="107">
        <f>IF(Simulador!$T$40=1,0,J118*Simulador!$W$38*1.16)</f>
        <v>0</v>
      </c>
      <c r="M118" s="107"/>
      <c r="N118" s="110">
        <f>IF(B118-H118=0,0,N116)</f>
        <v>0</v>
      </c>
      <c r="O118" s="13"/>
      <c r="P118" s="664">
        <f t="shared" si="51"/>
      </c>
      <c r="Q118" s="3"/>
      <c r="R118" s="107">
        <f t="shared" si="57"/>
        <v>0</v>
      </c>
      <c r="S118" s="107"/>
      <c r="T118" s="107">
        <f>_xlfn.IFERROR(IF(Simulador!$U$29=1,0,IF($B118&lt;=0,0,$B118*Simulador!$AA$42)),0)</f>
        <v>0</v>
      </c>
      <c r="U118" s="107"/>
      <c r="V118" s="107">
        <f>_xlfn.IFERROR(IF(Simulador!$U$29=1,0,IF($B118&lt;=0,0,IF(Simulador!$D$22&gt;0,Simulador!$D$22,Simulador!$O$24)*Simulador!$AA$43)),0)</f>
        <v>0</v>
      </c>
      <c r="W118" s="107"/>
      <c r="X118" s="107"/>
      <c r="Y118" s="107">
        <f t="shared" si="52"/>
        <v>0</v>
      </c>
      <c r="Z118" s="14"/>
      <c r="AA118" s="19"/>
      <c r="AB118" s="24"/>
      <c r="AC118" s="303">
        <v>8</v>
      </c>
      <c r="AD118" s="295">
        <v>8</v>
      </c>
      <c r="AE118" s="400">
        <f t="shared" si="58"/>
        <v>0</v>
      </c>
      <c r="AF118" s="279">
        <f t="shared" si="59"/>
        <v>0</v>
      </c>
      <c r="AG118" s="279">
        <f t="shared" si="60"/>
        <v>0</v>
      </c>
      <c r="AH118" s="418">
        <f t="shared" si="61"/>
        <v>0</v>
      </c>
      <c r="AI118" s="296">
        <f>IF(Simulador!$T$67=1,'Tabla de amortizacion'!AJ118,'Tabla de amortizacion'!AR118)</f>
        <v>0.09</v>
      </c>
      <c r="AJ118" s="297">
        <f t="shared" si="74"/>
        <v>0.09</v>
      </c>
      <c r="AK118" s="298">
        <f t="shared" si="62"/>
        <v>0</v>
      </c>
      <c r="AL118" s="298"/>
      <c r="AM118" s="297">
        <f t="shared" si="46"/>
        <v>0.092</v>
      </c>
      <c r="AN118" s="520">
        <f t="shared" si="47"/>
        <v>0.092</v>
      </c>
      <c r="AO118" s="520">
        <f t="shared" si="48"/>
        <v>0.092</v>
      </c>
      <c r="AP118" s="299">
        <v>0</v>
      </c>
      <c r="AQ118" s="414">
        <f t="shared" si="63"/>
        <v>0</v>
      </c>
      <c r="AR118" s="300">
        <f>IF(AND(Simulador!$T$67=2,Simulador!$T$61=1),AL118,IF(AND(Simulador!$T$67=2,Simulador!$T$61=2),AM118,IF(AND(Simulador!$T$67=2,Simulador!$T$61=3),AN118,AO118)))</f>
        <v>0.092</v>
      </c>
      <c r="AS118" s="281"/>
      <c r="AT118" s="70">
        <f t="shared" si="72"/>
        <v>0</v>
      </c>
      <c r="AU118" s="70">
        <f t="shared" si="64"/>
        <v>0</v>
      </c>
      <c r="AV118" s="71">
        <f t="shared" si="53"/>
        <v>0</v>
      </c>
      <c r="AW118" s="70">
        <f t="shared" si="54"/>
        <v>0</v>
      </c>
      <c r="AX118" s="70">
        <f t="shared" si="65"/>
        <v>0</v>
      </c>
      <c r="AY118" s="72">
        <f t="shared" si="55"/>
      </c>
      <c r="AZ118" s="70">
        <f>_xlfn.IFERROR(IF(Simulador!$U$29=1,0,IF($AT118&lt;=0.01,0,$AT118*Simulador!$AA$42)),0)+_xlfn.IFERROR(IF(Simulador!$U$29=1,0,IF($AT118&lt;=0.01,0,IF(Simulador!$D$22&gt;0,Simulador!$D$22,Simulador!$O$24)*Simulador!$AA$43)),0)</f>
        <v>0</v>
      </c>
      <c r="BA118" s="73"/>
      <c r="BB118" s="70">
        <f t="shared" si="56"/>
        <v>0</v>
      </c>
      <c r="BC118">
        <f t="shared" si="66"/>
        <v>0</v>
      </c>
      <c r="BD118" s="431">
        <f t="shared" si="67"/>
      </c>
      <c r="BE118" s="432">
        <f t="shared" si="68"/>
        <v>0</v>
      </c>
      <c r="BF118" s="69">
        <v>104</v>
      </c>
      <c r="BG118" s="38"/>
      <c r="BH118" s="438"/>
      <c r="BJ118" s="69"/>
      <c r="BM118" s="432"/>
    </row>
    <row r="119" spans="1:65" ht="12">
      <c r="A119" s="531">
        <v>105</v>
      </c>
      <c r="B119" s="106">
        <f t="shared" si="69"/>
        <v>0</v>
      </c>
      <c r="C119" s="106"/>
      <c r="D119" s="107">
        <f>IF(B119+F119-D118&lt;=0,B119+F119,IF(AND(OR(Simulador!$U$38=2,Simulador!$U$38=7),J118=0),D118*(1+AA119),IF($AE$3=2,B119*AQ119,D118*(1+AA119))))</f>
        <v>0</v>
      </c>
      <c r="E119" s="107"/>
      <c r="F119" s="107">
        <f t="shared" si="50"/>
        <v>0</v>
      </c>
      <c r="G119" s="107"/>
      <c r="H119" s="107">
        <f t="shared" si="70"/>
        <v>0</v>
      </c>
      <c r="I119" s="108"/>
      <c r="J119" s="109"/>
      <c r="K119" s="108"/>
      <c r="L119" s="107">
        <f>IF(Simulador!$T$40=1,0,J119*Simulador!$W$38*1.16)</f>
        <v>0</v>
      </c>
      <c r="M119" s="107"/>
      <c r="N119" s="111"/>
      <c r="O119" s="13"/>
      <c r="P119" s="664">
        <f t="shared" si="51"/>
      </c>
      <c r="Q119" s="3"/>
      <c r="R119" s="107">
        <f t="shared" si="57"/>
        <v>0</v>
      </c>
      <c r="S119" s="107"/>
      <c r="T119" s="107">
        <f>_xlfn.IFERROR(IF(Simulador!$U$29=1,0,IF($B119&lt;=0,0,$B119*Simulador!$AA$42)),0)</f>
        <v>0</v>
      </c>
      <c r="U119" s="107"/>
      <c r="V119" s="107">
        <f>_xlfn.IFERROR(IF(Simulador!$U$29=1,0,IF($B119&lt;=0,0,IF(Simulador!$D$22&gt;0,Simulador!$D$22,Simulador!$O$24)*Simulador!$AA$43)),0)</f>
        <v>0</v>
      </c>
      <c r="W119" s="107"/>
      <c r="X119" s="107"/>
      <c r="Y119" s="107">
        <f t="shared" si="52"/>
        <v>0</v>
      </c>
      <c r="Z119" s="14"/>
      <c r="AA119" s="19"/>
      <c r="AB119" s="24"/>
      <c r="AC119" s="303">
        <v>8</v>
      </c>
      <c r="AD119" s="302">
        <v>9</v>
      </c>
      <c r="AE119" s="400">
        <f t="shared" si="58"/>
        <v>0</v>
      </c>
      <c r="AF119" s="279">
        <f t="shared" si="59"/>
        <v>0</v>
      </c>
      <c r="AG119" s="279">
        <f t="shared" si="60"/>
        <v>0</v>
      </c>
      <c r="AH119" s="418">
        <f t="shared" si="61"/>
        <v>0</v>
      </c>
      <c r="AI119" s="296">
        <f>IF(Simulador!$T$67=1,'Tabla de amortizacion'!AJ119,'Tabla de amortizacion'!AR119)</f>
        <v>0.09</v>
      </c>
      <c r="AJ119" s="297">
        <f t="shared" si="74"/>
        <v>0.09</v>
      </c>
      <c r="AK119" s="298">
        <f t="shared" si="62"/>
        <v>0</v>
      </c>
      <c r="AL119" s="298"/>
      <c r="AM119" s="297">
        <f t="shared" si="46"/>
        <v>0.092</v>
      </c>
      <c r="AN119" s="520">
        <f t="shared" si="47"/>
        <v>0.092</v>
      </c>
      <c r="AO119" s="520">
        <f t="shared" si="48"/>
        <v>0.092</v>
      </c>
      <c r="AP119" s="299">
        <v>0</v>
      </c>
      <c r="AQ119" s="414">
        <f t="shared" si="63"/>
        <v>0</v>
      </c>
      <c r="AR119" s="300">
        <f>IF(AND(Simulador!$T$67=2,Simulador!$T$61=1),AL119,IF(AND(Simulador!$T$67=2,Simulador!$T$61=2),AM119,IF(AND(Simulador!$T$67=2,Simulador!$T$61=3),AN119,AO119)))</f>
        <v>0.092</v>
      </c>
      <c r="AS119" s="281"/>
      <c r="AT119" s="70">
        <f t="shared" si="72"/>
        <v>0</v>
      </c>
      <c r="AU119" s="70">
        <f t="shared" si="64"/>
        <v>0</v>
      </c>
      <c r="AV119" s="71">
        <f t="shared" si="53"/>
        <v>0</v>
      </c>
      <c r="AW119" s="70">
        <f t="shared" si="54"/>
        <v>0</v>
      </c>
      <c r="AX119" s="70">
        <f t="shared" si="65"/>
        <v>0</v>
      </c>
      <c r="AY119" s="72">
        <f t="shared" si="55"/>
      </c>
      <c r="AZ119" s="70">
        <f>_xlfn.IFERROR(IF(Simulador!$U$29=1,0,IF($AT119&lt;=0.01,0,$AT119*Simulador!$AA$42)),0)+_xlfn.IFERROR(IF(Simulador!$U$29=1,0,IF($AT119&lt;=0.01,0,IF(Simulador!$D$22&gt;0,Simulador!$D$22,Simulador!$O$24)*Simulador!$AA$43)),0)</f>
        <v>0</v>
      </c>
      <c r="BA119" s="73"/>
      <c r="BB119" s="70">
        <f t="shared" si="56"/>
        <v>0</v>
      </c>
      <c r="BC119">
        <f t="shared" si="66"/>
        <v>0</v>
      </c>
      <c r="BD119" s="431">
        <f t="shared" si="67"/>
      </c>
      <c r="BE119" s="432">
        <f t="shared" si="68"/>
        <v>0</v>
      </c>
      <c r="BF119" s="69">
        <v>105</v>
      </c>
      <c r="BG119" s="38"/>
      <c r="BH119" s="438"/>
      <c r="BJ119" s="69"/>
      <c r="BM119" s="432"/>
    </row>
    <row r="120" spans="1:65" ht="12">
      <c r="A120" s="531">
        <v>106</v>
      </c>
      <c r="B120" s="106">
        <f t="shared" si="69"/>
        <v>0</v>
      </c>
      <c r="C120" s="106"/>
      <c r="D120" s="107">
        <f>IF(B120+F120-D119&lt;=0,B120+F120,IF(AND(OR(Simulador!$U$38=2,Simulador!$U$38=7),J119=0),D119*(1+AA120),IF($AE$3=2,B120*AQ120,D119*(1+AA120))))</f>
        <v>0</v>
      </c>
      <c r="E120" s="107"/>
      <c r="F120" s="107">
        <f t="shared" si="50"/>
        <v>0</v>
      </c>
      <c r="G120" s="107"/>
      <c r="H120" s="107">
        <f t="shared" si="70"/>
        <v>0</v>
      </c>
      <c r="I120" s="108"/>
      <c r="J120" s="109"/>
      <c r="K120" s="108"/>
      <c r="L120" s="107">
        <f>IF(Simulador!$T$40=1,0,J120*Simulador!$W$38*1.16)</f>
        <v>0</v>
      </c>
      <c r="M120" s="107"/>
      <c r="N120" s="110">
        <f>IF(B120-H120=0,0,N118)</f>
        <v>0</v>
      </c>
      <c r="O120" s="13"/>
      <c r="P120" s="664">
        <f t="shared" si="51"/>
      </c>
      <c r="Q120" s="3"/>
      <c r="R120" s="107">
        <f t="shared" si="57"/>
        <v>0</v>
      </c>
      <c r="S120" s="107"/>
      <c r="T120" s="107">
        <f>_xlfn.IFERROR(IF(Simulador!$U$29=1,0,IF($B120&lt;=0,0,$B120*Simulador!$AA$42)),0)</f>
        <v>0</v>
      </c>
      <c r="U120" s="107"/>
      <c r="V120" s="107">
        <f>_xlfn.IFERROR(IF(Simulador!$U$29=1,0,IF($B120&lt;=0,0,IF(Simulador!$D$22&gt;0,Simulador!$D$22,Simulador!$O$24)*Simulador!$AA$43)),0)</f>
        <v>0</v>
      </c>
      <c r="W120" s="107"/>
      <c r="X120" s="107"/>
      <c r="Y120" s="107">
        <f t="shared" si="52"/>
        <v>0</v>
      </c>
      <c r="Z120" s="14"/>
      <c r="AA120" s="19"/>
      <c r="AB120" s="24"/>
      <c r="AC120" s="303">
        <v>8</v>
      </c>
      <c r="AD120" s="302">
        <v>10</v>
      </c>
      <c r="AE120" s="400">
        <f t="shared" si="58"/>
        <v>0</v>
      </c>
      <c r="AF120" s="279">
        <f t="shared" si="59"/>
        <v>0</v>
      </c>
      <c r="AG120" s="279">
        <f t="shared" si="60"/>
        <v>0</v>
      </c>
      <c r="AH120" s="418">
        <f t="shared" si="61"/>
        <v>0</v>
      </c>
      <c r="AI120" s="296">
        <f>IF(Simulador!$T$67=1,'Tabla de amortizacion'!AJ120,'Tabla de amortizacion'!AR120)</f>
        <v>0.09</v>
      </c>
      <c r="AJ120" s="297">
        <f t="shared" si="74"/>
        <v>0.09</v>
      </c>
      <c r="AK120" s="298">
        <f t="shared" si="62"/>
        <v>0</v>
      </c>
      <c r="AL120" s="298"/>
      <c r="AM120" s="297">
        <f t="shared" si="46"/>
        <v>0.092</v>
      </c>
      <c r="AN120" s="520">
        <f t="shared" si="47"/>
        <v>0.092</v>
      </c>
      <c r="AO120" s="520">
        <f t="shared" si="48"/>
        <v>0.092</v>
      </c>
      <c r="AP120" s="299">
        <v>0</v>
      </c>
      <c r="AQ120" s="414">
        <f t="shared" si="63"/>
        <v>0</v>
      </c>
      <c r="AR120" s="300">
        <f>IF(AND(Simulador!$T$67=2,Simulador!$T$61=1),AL120,IF(AND(Simulador!$T$67=2,Simulador!$T$61=2),AM120,IF(AND(Simulador!$T$67=2,Simulador!$T$61=3),AN120,AO120)))</f>
        <v>0.092</v>
      </c>
      <c r="AS120" s="281"/>
      <c r="AT120" s="70">
        <f t="shared" si="72"/>
        <v>0</v>
      </c>
      <c r="AU120" s="70">
        <f t="shared" si="64"/>
        <v>0</v>
      </c>
      <c r="AV120" s="71">
        <f t="shared" si="53"/>
        <v>0</v>
      </c>
      <c r="AW120" s="70">
        <f t="shared" si="54"/>
        <v>0</v>
      </c>
      <c r="AX120" s="70">
        <f t="shared" si="65"/>
        <v>0</v>
      </c>
      <c r="AY120" s="72">
        <f t="shared" si="55"/>
      </c>
      <c r="AZ120" s="70">
        <f>_xlfn.IFERROR(IF(Simulador!$U$29=1,0,IF($AT120&lt;=0.01,0,$AT120*Simulador!$AA$42)),0)+_xlfn.IFERROR(IF(Simulador!$U$29=1,0,IF($AT120&lt;=0.01,0,IF(Simulador!$D$22&gt;0,Simulador!$D$22,Simulador!$O$24)*Simulador!$AA$43)),0)</f>
        <v>0</v>
      </c>
      <c r="BA120" s="73"/>
      <c r="BB120" s="70">
        <f t="shared" si="56"/>
        <v>0</v>
      </c>
      <c r="BC120">
        <f t="shared" si="66"/>
        <v>0</v>
      </c>
      <c r="BD120" s="431">
        <f t="shared" si="67"/>
      </c>
      <c r="BE120" s="432">
        <f t="shared" si="68"/>
        <v>0</v>
      </c>
      <c r="BF120" s="69">
        <v>106</v>
      </c>
      <c r="BG120" s="38"/>
      <c r="BH120" s="438"/>
      <c r="BJ120" s="69"/>
      <c r="BM120" s="432"/>
    </row>
    <row r="121" spans="1:65" ht="12">
      <c r="A121" s="531">
        <v>107</v>
      </c>
      <c r="B121" s="106">
        <f t="shared" si="69"/>
        <v>0</v>
      </c>
      <c r="C121" s="106"/>
      <c r="D121" s="107">
        <f>IF(B121+F121-D120&lt;=0,B121+F121,IF(AND(OR(Simulador!$U$38=2,Simulador!$U$38=7),J120=0),D120*(1+AA121),IF($AE$3=2,B121*AQ121,D120*(1+AA121))))</f>
        <v>0</v>
      </c>
      <c r="E121" s="107"/>
      <c r="F121" s="107">
        <f t="shared" si="50"/>
        <v>0</v>
      </c>
      <c r="G121" s="107"/>
      <c r="H121" s="107">
        <f t="shared" si="70"/>
        <v>0</v>
      </c>
      <c r="I121" s="108"/>
      <c r="J121" s="109"/>
      <c r="K121" s="108"/>
      <c r="L121" s="107">
        <f>IF(Simulador!$T$40=1,0,J121*Simulador!$W$38*1.16)</f>
        <v>0</v>
      </c>
      <c r="M121" s="107"/>
      <c r="N121" s="111"/>
      <c r="O121" s="13"/>
      <c r="P121" s="664">
        <f t="shared" si="51"/>
      </c>
      <c r="Q121" s="3"/>
      <c r="R121" s="107">
        <f t="shared" si="57"/>
        <v>0</v>
      </c>
      <c r="S121" s="107"/>
      <c r="T121" s="107">
        <f>_xlfn.IFERROR(IF(Simulador!$U$29=1,0,IF($B121&lt;=0,0,$B121*Simulador!$AA$42)),0)</f>
        <v>0</v>
      </c>
      <c r="U121" s="107"/>
      <c r="V121" s="107">
        <f>_xlfn.IFERROR(IF(Simulador!$U$29=1,0,IF($B121&lt;=0,0,IF(Simulador!$D$22&gt;0,Simulador!$D$22,Simulador!$O$24)*Simulador!$AA$43)),0)</f>
        <v>0</v>
      </c>
      <c r="W121" s="107"/>
      <c r="X121" s="107"/>
      <c r="Y121" s="107">
        <f t="shared" si="52"/>
        <v>0</v>
      </c>
      <c r="Z121" s="14"/>
      <c r="AA121" s="19"/>
      <c r="AB121" s="24"/>
      <c r="AC121" s="303">
        <v>8</v>
      </c>
      <c r="AD121" s="295">
        <v>11</v>
      </c>
      <c r="AE121" s="400">
        <f t="shared" si="58"/>
        <v>0</v>
      </c>
      <c r="AF121" s="279">
        <f t="shared" si="59"/>
        <v>0</v>
      </c>
      <c r="AG121" s="279">
        <f t="shared" si="60"/>
        <v>0</v>
      </c>
      <c r="AH121" s="418">
        <f t="shared" si="61"/>
        <v>0</v>
      </c>
      <c r="AI121" s="296">
        <f>IF(Simulador!$T$67=1,'Tabla de amortizacion'!AJ121,'Tabla de amortizacion'!AR121)</f>
        <v>0.09</v>
      </c>
      <c r="AJ121" s="297">
        <f t="shared" si="74"/>
        <v>0.09</v>
      </c>
      <c r="AK121" s="298">
        <f t="shared" si="62"/>
        <v>0</v>
      </c>
      <c r="AL121" s="298"/>
      <c r="AM121" s="297">
        <f t="shared" si="46"/>
        <v>0.092</v>
      </c>
      <c r="AN121" s="520">
        <f t="shared" si="47"/>
        <v>0.092</v>
      </c>
      <c r="AO121" s="520">
        <f t="shared" si="48"/>
        <v>0.092</v>
      </c>
      <c r="AP121" s="299">
        <v>0</v>
      </c>
      <c r="AQ121" s="414">
        <f t="shared" si="63"/>
        <v>0</v>
      </c>
      <c r="AR121" s="300">
        <f>IF(AND(Simulador!$T$67=2,Simulador!$T$61=1),AL121,IF(AND(Simulador!$T$67=2,Simulador!$T$61=2),AM121,IF(AND(Simulador!$T$67=2,Simulador!$T$61=3),AN121,AO121)))</f>
        <v>0.092</v>
      </c>
      <c r="AS121" s="281"/>
      <c r="AT121" s="70">
        <f t="shared" si="72"/>
        <v>0</v>
      </c>
      <c r="AU121" s="70">
        <f t="shared" si="64"/>
        <v>0</v>
      </c>
      <c r="AV121" s="71">
        <f t="shared" si="53"/>
        <v>0</v>
      </c>
      <c r="AW121" s="70">
        <f t="shared" si="54"/>
        <v>0</v>
      </c>
      <c r="AX121" s="70">
        <f t="shared" si="65"/>
        <v>0</v>
      </c>
      <c r="AY121" s="72">
        <f t="shared" si="55"/>
      </c>
      <c r="AZ121" s="70">
        <f>_xlfn.IFERROR(IF(Simulador!$U$29=1,0,IF($AT121&lt;=0.01,0,$AT121*Simulador!$AA$42)),0)+_xlfn.IFERROR(IF(Simulador!$U$29=1,0,IF($AT121&lt;=0.01,0,IF(Simulador!$D$22&gt;0,Simulador!$D$22,Simulador!$O$24)*Simulador!$AA$43)),0)</f>
        <v>0</v>
      </c>
      <c r="BA121" s="73"/>
      <c r="BB121" s="70">
        <f t="shared" si="56"/>
        <v>0</v>
      </c>
      <c r="BC121">
        <f t="shared" si="66"/>
        <v>0</v>
      </c>
      <c r="BD121" s="431">
        <f t="shared" si="67"/>
      </c>
      <c r="BE121" s="432">
        <f t="shared" si="68"/>
        <v>0</v>
      </c>
      <c r="BF121" s="69">
        <v>107</v>
      </c>
      <c r="BG121" s="38"/>
      <c r="BH121" s="438"/>
      <c r="BJ121" s="69"/>
      <c r="BM121" s="432"/>
    </row>
    <row r="122" spans="1:65" ht="12">
      <c r="A122" s="531">
        <v>108</v>
      </c>
      <c r="B122" s="106">
        <f t="shared" si="69"/>
        <v>0</v>
      </c>
      <c r="C122" s="106"/>
      <c r="D122" s="107">
        <f>IF(B122+F122-D121&lt;=0,B122+F122,IF(AND(OR(Simulador!$U$38=2,Simulador!$U$38=7),J121=0),D121*(1+AA122),IF($AE$3=2,B122*AQ122,D121*(1+AA122))))</f>
        <v>0</v>
      </c>
      <c r="E122" s="107"/>
      <c r="F122" s="107">
        <f t="shared" si="50"/>
        <v>0</v>
      </c>
      <c r="G122" s="107"/>
      <c r="H122" s="107">
        <f t="shared" si="70"/>
        <v>0</v>
      </c>
      <c r="I122" s="108"/>
      <c r="J122" s="109"/>
      <c r="K122" s="108"/>
      <c r="L122" s="107">
        <f>IF(Simulador!$T$40=1,0,J122*Simulador!$W$38*1.16)</f>
        <v>0</v>
      </c>
      <c r="M122" s="107"/>
      <c r="N122" s="110">
        <f>IF(B122-H122=0,0,N120)</f>
        <v>0</v>
      </c>
      <c r="O122" s="13"/>
      <c r="P122" s="664">
        <f t="shared" si="51"/>
      </c>
      <c r="Q122" s="3"/>
      <c r="R122" s="107">
        <f t="shared" si="57"/>
        <v>0</v>
      </c>
      <c r="S122" s="107"/>
      <c r="T122" s="107">
        <f>_xlfn.IFERROR(IF(Simulador!$U$29=1,0,IF($B122&lt;=0,0,$B122*Simulador!$AA$42)),0)</f>
        <v>0</v>
      </c>
      <c r="U122" s="107"/>
      <c r="V122" s="107">
        <f>_xlfn.IFERROR(IF(Simulador!$U$29=1,0,IF($B122&lt;=0,0,IF(Simulador!$D$22&gt;0,Simulador!$D$22,Simulador!$O$24)*Simulador!$AA$43)),0)</f>
        <v>0</v>
      </c>
      <c r="W122" s="107"/>
      <c r="X122" s="107"/>
      <c r="Y122" s="107">
        <f t="shared" si="52"/>
        <v>0</v>
      </c>
      <c r="Z122" s="14"/>
      <c r="AA122" s="19"/>
      <c r="AB122" s="24"/>
      <c r="AC122" s="303">
        <v>9</v>
      </c>
      <c r="AD122" s="295">
        <v>0</v>
      </c>
      <c r="AE122" s="400">
        <f t="shared" si="58"/>
        <v>0</v>
      </c>
      <c r="AF122" s="279">
        <f t="shared" si="59"/>
        <v>0</v>
      </c>
      <c r="AG122" s="279">
        <f t="shared" si="60"/>
        <v>0</v>
      </c>
      <c r="AH122" s="418">
        <f t="shared" si="61"/>
        <v>0</v>
      </c>
      <c r="AI122" s="296">
        <f>IF(Simulador!$T$67=1,'Tabla de amortizacion'!AJ122,'Tabla de amortizacion'!AR122)</f>
        <v>0.09</v>
      </c>
      <c r="AJ122" s="297">
        <f t="shared" si="74"/>
        <v>0.09</v>
      </c>
      <c r="AK122" s="298">
        <f t="shared" si="62"/>
        <v>0</v>
      </c>
      <c r="AL122" s="298"/>
      <c r="AM122" s="297">
        <f t="shared" si="46"/>
        <v>0.092</v>
      </c>
      <c r="AN122" s="520">
        <f t="shared" si="47"/>
        <v>0.092</v>
      </c>
      <c r="AO122" s="520">
        <f t="shared" si="48"/>
        <v>0.092</v>
      </c>
      <c r="AP122" s="299">
        <v>0</v>
      </c>
      <c r="AQ122" s="414">
        <f t="shared" si="63"/>
        <v>0</v>
      </c>
      <c r="AR122" s="300">
        <f>IF(AND(Simulador!$T$67=2,Simulador!$T$61=1),AL122,IF(AND(Simulador!$T$67=2,Simulador!$T$61=2),AM122,IF(AND(Simulador!$T$67=2,Simulador!$T$61=3),AN122,AO122)))</f>
        <v>0.092</v>
      </c>
      <c r="AS122" s="281"/>
      <c r="AT122" s="70">
        <f t="shared" si="72"/>
        <v>0</v>
      </c>
      <c r="AU122" s="70">
        <f t="shared" si="64"/>
        <v>0</v>
      </c>
      <c r="AV122" s="71">
        <f t="shared" si="53"/>
        <v>0</v>
      </c>
      <c r="AW122" s="70">
        <f t="shared" si="54"/>
        <v>0</v>
      </c>
      <c r="AX122" s="70">
        <f t="shared" si="65"/>
        <v>0</v>
      </c>
      <c r="AY122" s="72">
        <f t="shared" si="55"/>
      </c>
      <c r="AZ122" s="70">
        <f>_xlfn.IFERROR(IF(Simulador!$U$29=1,0,IF($AT122&lt;=0.01,0,$AT122*Simulador!$AA$42)),0)+_xlfn.IFERROR(IF(Simulador!$U$29=1,0,IF($AT122&lt;=0.01,0,IF(Simulador!$D$22&gt;0,Simulador!$D$22,Simulador!$O$24)*Simulador!$AA$43)),0)</f>
        <v>0</v>
      </c>
      <c r="BA122" s="73"/>
      <c r="BB122" s="70">
        <f t="shared" si="56"/>
        <v>0</v>
      </c>
      <c r="BC122">
        <f t="shared" si="66"/>
        <v>0</v>
      </c>
      <c r="BD122" s="431">
        <f t="shared" si="67"/>
      </c>
      <c r="BE122" s="432">
        <f t="shared" si="68"/>
        <v>0</v>
      </c>
      <c r="BF122" s="69">
        <v>108</v>
      </c>
      <c r="BG122" s="38"/>
      <c r="BH122" s="438"/>
      <c r="BJ122" s="69"/>
      <c r="BM122" s="432"/>
    </row>
    <row r="123" spans="1:65" ht="12">
      <c r="A123" s="531">
        <v>109</v>
      </c>
      <c r="B123" s="106">
        <f t="shared" si="69"/>
        <v>0</v>
      </c>
      <c r="C123" s="106"/>
      <c r="D123" s="107">
        <f>IF(B123+F123-D122&lt;=0,B123+F123,IF(AND(OR(Simulador!$U$38=2,Simulador!$U$38=7),J122=0),D122*(1+AA123),IF($AE$3=2,B123*AQ123,D122*(1+AA123))))</f>
        <v>0</v>
      </c>
      <c r="E123" s="107"/>
      <c r="F123" s="107">
        <f t="shared" si="50"/>
        <v>0</v>
      </c>
      <c r="G123" s="107"/>
      <c r="H123" s="107">
        <f t="shared" si="70"/>
        <v>0</v>
      </c>
      <c r="I123" s="108"/>
      <c r="J123" s="109"/>
      <c r="K123" s="108"/>
      <c r="L123" s="107">
        <f>IF(Simulador!$T$40=1,0,J123*Simulador!$W$38*1.16)</f>
        <v>0</v>
      </c>
      <c r="M123" s="107"/>
      <c r="N123" s="111"/>
      <c r="O123" s="13"/>
      <c r="P123" s="664">
        <f t="shared" si="51"/>
      </c>
      <c r="Q123" s="3"/>
      <c r="R123" s="107">
        <f t="shared" si="57"/>
        <v>0</v>
      </c>
      <c r="S123" s="107"/>
      <c r="T123" s="107">
        <f>_xlfn.IFERROR(IF(Simulador!$U$29=1,0,IF($B123&lt;=0,0,$B123*Simulador!$AA$42)),0)</f>
        <v>0</v>
      </c>
      <c r="U123" s="107"/>
      <c r="V123" s="107">
        <f>_xlfn.IFERROR(IF(Simulador!$U$29=1,0,IF($B123&lt;=0,0,IF(Simulador!$D$22&gt;0,Simulador!$D$22,Simulador!$O$24)*Simulador!$AA$43)),0)</f>
        <v>0</v>
      </c>
      <c r="W123" s="107"/>
      <c r="X123" s="107"/>
      <c r="Y123" s="107">
        <f t="shared" si="52"/>
        <v>0</v>
      </c>
      <c r="Z123" s="14"/>
      <c r="AA123" s="19">
        <f>IF(B123&lt;=0,0,Simulador!$I$42)</f>
        <v>0</v>
      </c>
      <c r="AB123" s="24"/>
      <c r="AC123" s="303">
        <v>9</v>
      </c>
      <c r="AD123" s="295">
        <v>1</v>
      </c>
      <c r="AE123" s="400">
        <f t="shared" si="58"/>
        <v>0</v>
      </c>
      <c r="AF123" s="279">
        <f t="shared" si="59"/>
        <v>0</v>
      </c>
      <c r="AG123" s="279">
        <f t="shared" si="60"/>
        <v>0</v>
      </c>
      <c r="AH123" s="418">
        <f t="shared" si="61"/>
        <v>0</v>
      </c>
      <c r="AI123" s="296">
        <f>IF(Simulador!$T$67=1,'Tabla de amortizacion'!AJ123,'Tabla de amortizacion'!AR123)</f>
        <v>0.09</v>
      </c>
      <c r="AJ123" s="297">
        <f>IF(AJ122=$AM$4,AJ122,IF(AJ122-0.25%&lt;=$AM$4,$AM$4,AJ122-0.25%))</f>
        <v>0.09</v>
      </c>
      <c r="AK123" s="298">
        <f t="shared" si="62"/>
        <v>0</v>
      </c>
      <c r="AL123" s="298"/>
      <c r="AM123" s="297">
        <f t="shared" si="46"/>
        <v>0.092</v>
      </c>
      <c r="AN123" s="520">
        <f t="shared" si="47"/>
        <v>0.092</v>
      </c>
      <c r="AO123" s="520">
        <f t="shared" si="48"/>
        <v>0.092</v>
      </c>
      <c r="AP123" s="299">
        <v>0</v>
      </c>
      <c r="AQ123" s="414">
        <f t="shared" si="63"/>
        <v>0</v>
      </c>
      <c r="AR123" s="300">
        <f>IF(AND(Simulador!$T$67=2,Simulador!$T$61=1),AL123,IF(AND(Simulador!$T$67=2,Simulador!$T$61=2),AM123,IF(AND(Simulador!$T$67=2,Simulador!$T$61=3),AN123,AO123)))</f>
        <v>0.092</v>
      </c>
      <c r="AS123" s="281"/>
      <c r="AT123" s="70">
        <f t="shared" si="72"/>
        <v>0</v>
      </c>
      <c r="AU123" s="70">
        <f t="shared" si="64"/>
        <v>0</v>
      </c>
      <c r="AV123" s="71">
        <f t="shared" si="53"/>
        <v>0</v>
      </c>
      <c r="AW123" s="70">
        <f t="shared" si="54"/>
        <v>0</v>
      </c>
      <c r="AX123" s="70">
        <f t="shared" si="65"/>
        <v>0</v>
      </c>
      <c r="AY123" s="72">
        <f t="shared" si="55"/>
      </c>
      <c r="AZ123" s="70">
        <f>_xlfn.IFERROR(IF(Simulador!$U$29=1,0,IF($AT123&lt;=0.01,0,$AT123*Simulador!$AA$42)),0)+_xlfn.IFERROR(IF(Simulador!$U$29=1,0,IF($AT123&lt;=0.01,0,IF(Simulador!$D$22&gt;0,Simulador!$D$22,Simulador!$O$24)*Simulador!$AA$43)),0)</f>
        <v>0</v>
      </c>
      <c r="BA123" s="73">
        <f>IF(AT123&lt;=0,0,$BA$27)</f>
        <v>0</v>
      </c>
      <c r="BB123" s="70">
        <f t="shared" si="56"/>
        <v>0</v>
      </c>
      <c r="BC123">
        <f t="shared" si="66"/>
        <v>0</v>
      </c>
      <c r="BD123" s="431">
        <f t="shared" si="67"/>
      </c>
      <c r="BE123" s="432">
        <f t="shared" si="68"/>
        <v>0</v>
      </c>
      <c r="BF123" s="69">
        <v>109</v>
      </c>
      <c r="BG123" s="38"/>
      <c r="BH123" s="438"/>
      <c r="BJ123" s="69"/>
      <c r="BM123" s="432"/>
    </row>
    <row r="124" spans="1:65" ht="12">
      <c r="A124" s="531">
        <v>110</v>
      </c>
      <c r="B124" s="106">
        <f t="shared" si="69"/>
        <v>0</v>
      </c>
      <c r="C124" s="106"/>
      <c r="D124" s="107">
        <f>IF(B124+F124-D123&lt;=0,B124+F124,IF(AND(OR(Simulador!$U$38=2,Simulador!$U$38=7),J123=0),D123*(1+AA124),IF($AE$3=2,B124*AQ124,D123*(1+AA124))))</f>
        <v>0</v>
      </c>
      <c r="E124" s="107"/>
      <c r="F124" s="107">
        <f t="shared" si="50"/>
        <v>0</v>
      </c>
      <c r="G124" s="107"/>
      <c r="H124" s="107">
        <f t="shared" si="70"/>
        <v>0</v>
      </c>
      <c r="I124" s="108"/>
      <c r="J124" s="109"/>
      <c r="K124" s="108"/>
      <c r="L124" s="107">
        <f>IF(Simulador!$T$40=1,0,J124*Simulador!$W$38*1.16)</f>
        <v>0</v>
      </c>
      <c r="M124" s="107"/>
      <c r="N124" s="110">
        <f>IF(B124-H124=0,0,N122*(1+(Simulador!$AF$76)))</f>
        <v>0</v>
      </c>
      <c r="O124" s="13"/>
      <c r="P124" s="664">
        <f t="shared" si="51"/>
      </c>
      <c r="Q124" s="3"/>
      <c r="R124" s="107">
        <f t="shared" si="57"/>
        <v>0</v>
      </c>
      <c r="S124" s="107"/>
      <c r="T124" s="107">
        <f>_xlfn.IFERROR(IF(Simulador!$U$29=1,0,IF($B124&lt;=0,0,$B124*Simulador!$AA$42)),0)</f>
        <v>0</v>
      </c>
      <c r="U124" s="107"/>
      <c r="V124" s="107">
        <f>_xlfn.IFERROR(IF(Simulador!$U$29=1,0,IF($B124&lt;=0,0,IF(Simulador!$D$22&gt;0,Simulador!$D$22,Simulador!$O$24)*Simulador!$AA$43)),0)</f>
        <v>0</v>
      </c>
      <c r="W124" s="107"/>
      <c r="X124" s="107"/>
      <c r="Y124" s="107">
        <f t="shared" si="52"/>
        <v>0</v>
      </c>
      <c r="Z124" s="14"/>
      <c r="AA124" s="19"/>
      <c r="AB124" s="24"/>
      <c r="AC124" s="303">
        <v>9</v>
      </c>
      <c r="AD124" s="301">
        <v>2</v>
      </c>
      <c r="AE124" s="400">
        <f t="shared" si="58"/>
        <v>0</v>
      </c>
      <c r="AF124" s="279">
        <f t="shared" si="59"/>
        <v>0</v>
      </c>
      <c r="AG124" s="279">
        <f t="shared" si="60"/>
        <v>0</v>
      </c>
      <c r="AH124" s="418">
        <f t="shared" si="61"/>
        <v>0</v>
      </c>
      <c r="AI124" s="296">
        <f>IF(Simulador!$T$67=1,'Tabla de amortizacion'!AJ124,'Tabla de amortizacion'!AR124)</f>
        <v>0.09</v>
      </c>
      <c r="AJ124" s="297">
        <f>AJ123</f>
        <v>0.09</v>
      </c>
      <c r="AK124" s="298">
        <f t="shared" si="62"/>
        <v>0</v>
      </c>
      <c r="AL124" s="298"/>
      <c r="AM124" s="297">
        <f t="shared" si="46"/>
        <v>0.092</v>
      </c>
      <c r="AN124" s="520">
        <f t="shared" si="47"/>
        <v>0.092</v>
      </c>
      <c r="AO124" s="520">
        <f t="shared" si="48"/>
        <v>0.092</v>
      </c>
      <c r="AP124" s="299">
        <v>0</v>
      </c>
      <c r="AQ124" s="414">
        <f t="shared" si="63"/>
        <v>0</v>
      </c>
      <c r="AR124" s="300">
        <f>IF(AND(Simulador!$T$67=2,Simulador!$T$61=1),AL124,IF(AND(Simulador!$T$67=2,Simulador!$T$61=2),AM124,IF(AND(Simulador!$T$67=2,Simulador!$T$61=3),AN124,AO124)))</f>
        <v>0.092</v>
      </c>
      <c r="AS124" s="281"/>
      <c r="AT124" s="70">
        <f t="shared" si="72"/>
        <v>0</v>
      </c>
      <c r="AU124" s="70">
        <f t="shared" si="64"/>
        <v>0</v>
      </c>
      <c r="AV124" s="71">
        <f t="shared" si="53"/>
        <v>0</v>
      </c>
      <c r="AW124" s="70">
        <f t="shared" si="54"/>
        <v>0</v>
      </c>
      <c r="AX124" s="70">
        <f t="shared" si="65"/>
        <v>0</v>
      </c>
      <c r="AY124" s="72">
        <f t="shared" si="55"/>
      </c>
      <c r="AZ124" s="70">
        <f>_xlfn.IFERROR(IF(Simulador!$U$29=1,0,IF($AT124&lt;=0.01,0,$AT124*Simulador!$AA$42)),0)+_xlfn.IFERROR(IF(Simulador!$U$29=1,0,IF($AT124&lt;=0.01,0,IF(Simulador!$D$22&gt;0,Simulador!$D$22,Simulador!$O$24)*Simulador!$AA$43)),0)</f>
        <v>0</v>
      </c>
      <c r="BA124" s="73"/>
      <c r="BB124" s="70">
        <f t="shared" si="56"/>
        <v>0</v>
      </c>
      <c r="BC124">
        <f t="shared" si="66"/>
        <v>0</v>
      </c>
      <c r="BD124" s="431">
        <f t="shared" si="67"/>
      </c>
      <c r="BE124" s="432">
        <f t="shared" si="68"/>
        <v>0</v>
      </c>
      <c r="BF124" s="69">
        <v>110</v>
      </c>
      <c r="BG124" s="38"/>
      <c r="BH124" s="438"/>
      <c r="BJ124" s="69"/>
      <c r="BM124" s="432"/>
    </row>
    <row r="125" spans="1:65" ht="12">
      <c r="A125" s="531">
        <v>111</v>
      </c>
      <c r="B125" s="106">
        <f t="shared" si="69"/>
        <v>0</v>
      </c>
      <c r="C125" s="106"/>
      <c r="D125" s="107">
        <f>IF(B125+F125-D124&lt;=0,B125+F125,IF(AND(OR(Simulador!$U$38=2,Simulador!$U$38=7),J124=0),D124*(1+AA125),IF($AE$3=2,B125*AQ125,D124*(1+AA125))))</f>
        <v>0</v>
      </c>
      <c r="E125" s="107"/>
      <c r="F125" s="107">
        <f t="shared" si="50"/>
        <v>0</v>
      </c>
      <c r="G125" s="107"/>
      <c r="H125" s="107">
        <f t="shared" si="70"/>
        <v>0</v>
      </c>
      <c r="I125" s="108"/>
      <c r="J125" s="109"/>
      <c r="K125" s="108"/>
      <c r="L125" s="107">
        <f>IF(Simulador!$T$40=1,0,J125*Simulador!$W$38*1.16)</f>
        <v>0</v>
      </c>
      <c r="M125" s="107"/>
      <c r="N125" s="111"/>
      <c r="O125" s="13"/>
      <c r="P125" s="664">
        <f t="shared" si="51"/>
      </c>
      <c r="Q125" s="3"/>
      <c r="R125" s="107">
        <f t="shared" si="57"/>
        <v>0</v>
      </c>
      <c r="S125" s="107"/>
      <c r="T125" s="107">
        <f>_xlfn.IFERROR(IF(Simulador!$U$29=1,0,IF($B125&lt;=0,0,$B125*Simulador!$AA$42)),0)</f>
        <v>0</v>
      </c>
      <c r="U125" s="107"/>
      <c r="V125" s="107">
        <f>_xlfn.IFERROR(IF(Simulador!$U$29=1,0,IF($B125&lt;=0,0,IF(Simulador!$D$22&gt;0,Simulador!$D$22,Simulador!$O$24)*Simulador!$AA$43)),0)</f>
        <v>0</v>
      </c>
      <c r="W125" s="107"/>
      <c r="X125" s="107"/>
      <c r="Y125" s="107">
        <f t="shared" si="52"/>
        <v>0</v>
      </c>
      <c r="Z125" s="14"/>
      <c r="AA125" s="19"/>
      <c r="AB125" s="24"/>
      <c r="AC125" s="303">
        <v>9</v>
      </c>
      <c r="AD125" s="301">
        <v>3</v>
      </c>
      <c r="AE125" s="400">
        <f t="shared" si="58"/>
        <v>0</v>
      </c>
      <c r="AF125" s="279">
        <f t="shared" si="59"/>
        <v>0</v>
      </c>
      <c r="AG125" s="279">
        <f t="shared" si="60"/>
        <v>0</v>
      </c>
      <c r="AH125" s="418">
        <f t="shared" si="61"/>
        <v>0</v>
      </c>
      <c r="AI125" s="296">
        <f>IF(Simulador!$T$67=1,'Tabla de amortizacion'!AJ125,'Tabla de amortizacion'!AR125)</f>
        <v>0.09</v>
      </c>
      <c r="AJ125" s="297">
        <f aca="true" t="shared" si="75" ref="AJ125:AJ134">AJ124</f>
        <v>0.09</v>
      </c>
      <c r="AK125" s="298">
        <f t="shared" si="62"/>
        <v>0</v>
      </c>
      <c r="AL125" s="298"/>
      <c r="AM125" s="297">
        <f t="shared" si="46"/>
        <v>0.092</v>
      </c>
      <c r="AN125" s="520">
        <f t="shared" si="47"/>
        <v>0.092</v>
      </c>
      <c r="AO125" s="520">
        <f t="shared" si="48"/>
        <v>0.092</v>
      </c>
      <c r="AP125" s="299">
        <v>0</v>
      </c>
      <c r="AQ125" s="414">
        <f t="shared" si="63"/>
        <v>0</v>
      </c>
      <c r="AR125" s="300">
        <f>IF(AND(Simulador!$T$67=2,Simulador!$T$61=1),AL125,IF(AND(Simulador!$T$67=2,Simulador!$T$61=2),AM125,IF(AND(Simulador!$T$67=2,Simulador!$T$61=3),AN125,AO125)))</f>
        <v>0.092</v>
      </c>
      <c r="AS125" s="281"/>
      <c r="AT125" s="70">
        <f t="shared" si="72"/>
        <v>0</v>
      </c>
      <c r="AU125" s="70">
        <f t="shared" si="64"/>
        <v>0</v>
      </c>
      <c r="AV125" s="71">
        <f t="shared" si="53"/>
        <v>0</v>
      </c>
      <c r="AW125" s="70">
        <f t="shared" si="54"/>
        <v>0</v>
      </c>
      <c r="AX125" s="70">
        <f t="shared" si="65"/>
        <v>0</v>
      </c>
      <c r="AY125" s="72">
        <f t="shared" si="55"/>
      </c>
      <c r="AZ125" s="70">
        <f>_xlfn.IFERROR(IF(Simulador!$U$29=1,0,IF($AT125&lt;=0.01,0,$AT125*Simulador!$AA$42)),0)+_xlfn.IFERROR(IF(Simulador!$U$29=1,0,IF($AT125&lt;=0.01,0,IF(Simulador!$D$22&gt;0,Simulador!$D$22,Simulador!$O$24)*Simulador!$AA$43)),0)</f>
        <v>0</v>
      </c>
      <c r="BA125" s="73"/>
      <c r="BB125" s="70">
        <f t="shared" si="56"/>
        <v>0</v>
      </c>
      <c r="BC125">
        <f t="shared" si="66"/>
        <v>0</v>
      </c>
      <c r="BD125" s="431">
        <f t="shared" si="67"/>
      </c>
      <c r="BE125" s="432">
        <f t="shared" si="68"/>
        <v>0</v>
      </c>
      <c r="BF125" s="69">
        <v>111</v>
      </c>
      <c r="BG125" s="38"/>
      <c r="BH125" s="438"/>
      <c r="BJ125" s="69"/>
      <c r="BM125" s="432"/>
    </row>
    <row r="126" spans="1:65" ht="12">
      <c r="A126" s="531">
        <v>112</v>
      </c>
      <c r="B126" s="106">
        <f t="shared" si="69"/>
        <v>0</v>
      </c>
      <c r="C126" s="106"/>
      <c r="D126" s="107">
        <f>IF(B126+F126-D125&lt;=0,B126+F126,IF(AND(OR(Simulador!$U$38=2,Simulador!$U$38=7),J125=0),D125*(1+AA126),IF($AE$3=2,B126*AQ126,D125*(1+AA126))))</f>
        <v>0</v>
      </c>
      <c r="E126" s="107"/>
      <c r="F126" s="107">
        <f t="shared" si="50"/>
        <v>0</v>
      </c>
      <c r="G126" s="107"/>
      <c r="H126" s="107">
        <f t="shared" si="70"/>
        <v>0</v>
      </c>
      <c r="I126" s="108"/>
      <c r="J126" s="109"/>
      <c r="K126" s="108"/>
      <c r="L126" s="107">
        <f>IF(Simulador!$T$40=1,0,J126*Simulador!$W$38*1.16)</f>
        <v>0</v>
      </c>
      <c r="M126" s="107"/>
      <c r="N126" s="110">
        <f>IF(B126-H126=0,0,N124)</f>
        <v>0</v>
      </c>
      <c r="O126" s="13"/>
      <c r="P126" s="664">
        <f t="shared" si="51"/>
      </c>
      <c r="Q126" s="3"/>
      <c r="R126" s="107">
        <f t="shared" si="57"/>
        <v>0</v>
      </c>
      <c r="S126" s="107"/>
      <c r="T126" s="107">
        <f>_xlfn.IFERROR(IF(Simulador!$U$29=1,0,IF($B126&lt;=0,0,$B126*Simulador!$AA$42)),0)</f>
        <v>0</v>
      </c>
      <c r="U126" s="107"/>
      <c r="V126" s="107">
        <f>_xlfn.IFERROR(IF(Simulador!$U$29=1,0,IF($B126&lt;=0,0,IF(Simulador!$D$22&gt;0,Simulador!$D$22,Simulador!$O$24)*Simulador!$AA$43)),0)</f>
        <v>0</v>
      </c>
      <c r="W126" s="107"/>
      <c r="X126" s="107"/>
      <c r="Y126" s="107">
        <f t="shared" si="52"/>
        <v>0</v>
      </c>
      <c r="Z126" s="14"/>
      <c r="AA126" s="19"/>
      <c r="AB126" s="24"/>
      <c r="AC126" s="303">
        <v>9</v>
      </c>
      <c r="AD126" s="295">
        <v>4</v>
      </c>
      <c r="AE126" s="400">
        <f t="shared" si="58"/>
        <v>0</v>
      </c>
      <c r="AF126" s="279">
        <f t="shared" si="59"/>
        <v>0</v>
      </c>
      <c r="AG126" s="279">
        <f t="shared" si="60"/>
        <v>0</v>
      </c>
      <c r="AH126" s="418">
        <f t="shared" si="61"/>
        <v>0</v>
      </c>
      <c r="AI126" s="296">
        <f>IF(Simulador!$T$67=1,'Tabla de amortizacion'!AJ126,'Tabla de amortizacion'!AR126)</f>
        <v>0.09</v>
      </c>
      <c r="AJ126" s="297">
        <f t="shared" si="75"/>
        <v>0.09</v>
      </c>
      <c r="AK126" s="298">
        <f t="shared" si="62"/>
        <v>0</v>
      </c>
      <c r="AL126" s="298"/>
      <c r="AM126" s="297">
        <f t="shared" si="46"/>
        <v>0.092</v>
      </c>
      <c r="AN126" s="520">
        <f t="shared" si="47"/>
        <v>0.092</v>
      </c>
      <c r="AO126" s="520">
        <f t="shared" si="48"/>
        <v>0.092</v>
      </c>
      <c r="AP126" s="299">
        <v>0</v>
      </c>
      <c r="AQ126" s="414">
        <f t="shared" si="63"/>
        <v>0</v>
      </c>
      <c r="AR126" s="300">
        <f>IF(AND(Simulador!$T$67=2,Simulador!$T$61=1),AL126,IF(AND(Simulador!$T$67=2,Simulador!$T$61=2),AM126,IF(AND(Simulador!$T$67=2,Simulador!$T$61=3),AN126,AO126)))</f>
        <v>0.092</v>
      </c>
      <c r="AS126" s="281"/>
      <c r="AT126" s="70">
        <f t="shared" si="72"/>
        <v>0</v>
      </c>
      <c r="AU126" s="70">
        <f t="shared" si="64"/>
        <v>0</v>
      </c>
      <c r="AV126" s="71">
        <f t="shared" si="53"/>
        <v>0</v>
      </c>
      <c r="AW126" s="70">
        <f t="shared" si="54"/>
        <v>0</v>
      </c>
      <c r="AX126" s="70">
        <f t="shared" si="65"/>
        <v>0</v>
      </c>
      <c r="AY126" s="72">
        <f t="shared" si="55"/>
      </c>
      <c r="AZ126" s="70">
        <f>_xlfn.IFERROR(IF(Simulador!$U$29=1,0,IF($AT126&lt;=0.01,0,$AT126*Simulador!$AA$42)),0)+_xlfn.IFERROR(IF(Simulador!$U$29=1,0,IF($AT126&lt;=0.01,0,IF(Simulador!$D$22&gt;0,Simulador!$D$22,Simulador!$O$24)*Simulador!$AA$43)),0)</f>
        <v>0</v>
      </c>
      <c r="BA126" s="73"/>
      <c r="BB126" s="70">
        <f t="shared" si="56"/>
        <v>0</v>
      </c>
      <c r="BC126">
        <f t="shared" si="66"/>
        <v>0</v>
      </c>
      <c r="BD126" s="431">
        <f t="shared" si="67"/>
      </c>
      <c r="BE126" s="432">
        <f t="shared" si="68"/>
        <v>0</v>
      </c>
      <c r="BF126" s="69">
        <v>112</v>
      </c>
      <c r="BG126" s="38"/>
      <c r="BH126" s="438"/>
      <c r="BJ126" s="69"/>
      <c r="BM126" s="432"/>
    </row>
    <row r="127" spans="1:65" ht="12">
      <c r="A127" s="531">
        <v>113</v>
      </c>
      <c r="B127" s="106">
        <f t="shared" si="69"/>
        <v>0</v>
      </c>
      <c r="C127" s="106"/>
      <c r="D127" s="107">
        <f>IF(B127+F127-D126&lt;=0,B127+F127,IF(AND(OR(Simulador!$U$38=2,Simulador!$U$38=7),J126=0),D126*(1+AA127),IF($AE$3=2,B127*AQ127,D126*(1+AA127))))</f>
        <v>0</v>
      </c>
      <c r="E127" s="107"/>
      <c r="F127" s="107">
        <f t="shared" si="50"/>
        <v>0</v>
      </c>
      <c r="G127" s="107"/>
      <c r="H127" s="107">
        <f t="shared" si="70"/>
        <v>0</v>
      </c>
      <c r="I127" s="108"/>
      <c r="J127" s="109"/>
      <c r="K127" s="108"/>
      <c r="L127" s="107">
        <f>IF(Simulador!$T$40=1,0,J127*Simulador!$W$38*1.16)</f>
        <v>0</v>
      </c>
      <c r="M127" s="107"/>
      <c r="N127" s="111"/>
      <c r="O127" s="13"/>
      <c r="P127" s="664">
        <f t="shared" si="51"/>
      </c>
      <c r="Q127" s="3"/>
      <c r="R127" s="107">
        <f t="shared" si="57"/>
        <v>0</v>
      </c>
      <c r="S127" s="107"/>
      <c r="T127" s="107">
        <f>_xlfn.IFERROR(IF(Simulador!$U$29=1,0,IF($B127&lt;=0,0,$B127*Simulador!$AA$42)),0)</f>
        <v>0</v>
      </c>
      <c r="U127" s="107"/>
      <c r="V127" s="107">
        <f>_xlfn.IFERROR(IF(Simulador!$U$29=1,0,IF($B127&lt;=0,0,IF(Simulador!$D$22&gt;0,Simulador!$D$22,Simulador!$O$24)*Simulador!$AA$43)),0)</f>
        <v>0</v>
      </c>
      <c r="W127" s="107"/>
      <c r="X127" s="107"/>
      <c r="Y127" s="107">
        <f t="shared" si="52"/>
        <v>0</v>
      </c>
      <c r="Z127" s="14"/>
      <c r="AA127" s="19"/>
      <c r="AB127" s="24"/>
      <c r="AC127" s="303">
        <v>9</v>
      </c>
      <c r="AD127" s="295">
        <v>5</v>
      </c>
      <c r="AE127" s="400">
        <f t="shared" si="58"/>
        <v>0</v>
      </c>
      <c r="AF127" s="279">
        <f t="shared" si="59"/>
        <v>0</v>
      </c>
      <c r="AG127" s="279">
        <f t="shared" si="60"/>
        <v>0</v>
      </c>
      <c r="AH127" s="418">
        <f t="shared" si="61"/>
        <v>0</v>
      </c>
      <c r="AI127" s="296">
        <f>IF(Simulador!$T$67=1,'Tabla de amortizacion'!AJ127,'Tabla de amortizacion'!AR127)</f>
        <v>0.09</v>
      </c>
      <c r="AJ127" s="297">
        <f t="shared" si="75"/>
        <v>0.09</v>
      </c>
      <c r="AK127" s="298">
        <f t="shared" si="62"/>
        <v>0</v>
      </c>
      <c r="AL127" s="298"/>
      <c r="AM127" s="297">
        <f t="shared" si="46"/>
        <v>0.092</v>
      </c>
      <c r="AN127" s="520">
        <f t="shared" si="47"/>
        <v>0.092</v>
      </c>
      <c r="AO127" s="520">
        <f t="shared" si="48"/>
        <v>0.092</v>
      </c>
      <c r="AP127" s="299">
        <v>0</v>
      </c>
      <c r="AQ127" s="414">
        <f t="shared" si="63"/>
        <v>0</v>
      </c>
      <c r="AR127" s="300">
        <f>IF(AND(Simulador!$T$67=2,Simulador!$T$61=1),AL127,IF(AND(Simulador!$T$67=2,Simulador!$T$61=2),AM127,IF(AND(Simulador!$T$67=2,Simulador!$T$61=3),AN127,AO127)))</f>
        <v>0.092</v>
      </c>
      <c r="AS127" s="281"/>
      <c r="AT127" s="70">
        <f t="shared" si="72"/>
        <v>0</v>
      </c>
      <c r="AU127" s="70">
        <f t="shared" si="64"/>
        <v>0</v>
      </c>
      <c r="AV127" s="71">
        <f t="shared" si="53"/>
        <v>0</v>
      </c>
      <c r="AW127" s="70">
        <f t="shared" si="54"/>
        <v>0</v>
      </c>
      <c r="AX127" s="70">
        <f t="shared" si="65"/>
        <v>0</v>
      </c>
      <c r="AY127" s="72">
        <f t="shared" si="55"/>
      </c>
      <c r="AZ127" s="70">
        <f>_xlfn.IFERROR(IF(Simulador!$U$29=1,0,IF($AT127&lt;=0.01,0,$AT127*Simulador!$AA$42)),0)+_xlfn.IFERROR(IF(Simulador!$U$29=1,0,IF($AT127&lt;=0.01,0,IF(Simulador!$D$22&gt;0,Simulador!$D$22,Simulador!$O$24)*Simulador!$AA$43)),0)</f>
        <v>0</v>
      </c>
      <c r="BA127" s="73"/>
      <c r="BB127" s="70">
        <f t="shared" si="56"/>
        <v>0</v>
      </c>
      <c r="BC127">
        <f t="shared" si="66"/>
        <v>0</v>
      </c>
      <c r="BD127" s="431">
        <f t="shared" si="67"/>
      </c>
      <c r="BE127" s="432">
        <f t="shared" si="68"/>
        <v>0</v>
      </c>
      <c r="BF127" s="69">
        <v>113</v>
      </c>
      <c r="BG127" s="38"/>
      <c r="BH127" s="438"/>
      <c r="BJ127" s="69"/>
      <c r="BM127" s="432"/>
    </row>
    <row r="128" spans="1:65" ht="12">
      <c r="A128" s="531">
        <v>114</v>
      </c>
      <c r="B128" s="106">
        <f t="shared" si="69"/>
        <v>0</v>
      </c>
      <c r="C128" s="106"/>
      <c r="D128" s="107">
        <f>IF(B128+F128-D127&lt;=0,B128+F128,IF(AND(OR(Simulador!$U$38=2,Simulador!$U$38=7),J127=0),D127*(1+AA128),IF($AE$3=2,B128*AQ128,D127*(1+AA128))))</f>
        <v>0</v>
      </c>
      <c r="E128" s="107"/>
      <c r="F128" s="107">
        <f t="shared" si="50"/>
        <v>0</v>
      </c>
      <c r="G128" s="107"/>
      <c r="H128" s="107">
        <f t="shared" si="70"/>
        <v>0</v>
      </c>
      <c r="I128" s="108"/>
      <c r="J128" s="109"/>
      <c r="K128" s="108"/>
      <c r="L128" s="107">
        <f>IF(Simulador!$T$40=1,0,J128*Simulador!$W$38*1.16)</f>
        <v>0</v>
      </c>
      <c r="M128" s="107"/>
      <c r="N128" s="110">
        <f>IF(B128-H128=0,0,N126)</f>
        <v>0</v>
      </c>
      <c r="O128" s="13"/>
      <c r="P128" s="664">
        <f t="shared" si="51"/>
      </c>
      <c r="Q128" s="3"/>
      <c r="R128" s="107">
        <f t="shared" si="57"/>
        <v>0</v>
      </c>
      <c r="S128" s="107"/>
      <c r="T128" s="107">
        <f>_xlfn.IFERROR(IF(Simulador!$U$29=1,0,IF($B128&lt;=0,0,$B128*Simulador!$AA$42)),0)</f>
        <v>0</v>
      </c>
      <c r="U128" s="107"/>
      <c r="V128" s="107">
        <f>_xlfn.IFERROR(IF(Simulador!$U$29=1,0,IF($B128&lt;=0,0,IF(Simulador!$D$22&gt;0,Simulador!$D$22,Simulador!$O$24)*Simulador!$AA$43)),0)</f>
        <v>0</v>
      </c>
      <c r="W128" s="107"/>
      <c r="X128" s="107"/>
      <c r="Y128" s="107">
        <f t="shared" si="52"/>
        <v>0</v>
      </c>
      <c r="Z128" s="14"/>
      <c r="AA128" s="19"/>
      <c r="AB128" s="24"/>
      <c r="AC128" s="303">
        <v>9</v>
      </c>
      <c r="AD128" s="295">
        <v>6</v>
      </c>
      <c r="AE128" s="400">
        <f t="shared" si="58"/>
        <v>0</v>
      </c>
      <c r="AF128" s="279">
        <f t="shared" si="59"/>
        <v>0</v>
      </c>
      <c r="AG128" s="279">
        <f t="shared" si="60"/>
        <v>0</v>
      </c>
      <c r="AH128" s="418">
        <f t="shared" si="61"/>
        <v>0</v>
      </c>
      <c r="AI128" s="296">
        <f>IF(Simulador!$T$67=1,'Tabla de amortizacion'!AJ128,'Tabla de amortizacion'!AR128)</f>
        <v>0.09</v>
      </c>
      <c r="AJ128" s="297">
        <f t="shared" si="75"/>
        <v>0.09</v>
      </c>
      <c r="AK128" s="298">
        <f t="shared" si="62"/>
        <v>0</v>
      </c>
      <c r="AL128" s="298"/>
      <c r="AM128" s="297">
        <f t="shared" si="46"/>
        <v>0.092</v>
      </c>
      <c r="AN128" s="520">
        <f t="shared" si="47"/>
        <v>0.092</v>
      </c>
      <c r="AO128" s="520">
        <f t="shared" si="48"/>
        <v>0.092</v>
      </c>
      <c r="AP128" s="299">
        <v>0</v>
      </c>
      <c r="AQ128" s="414">
        <f t="shared" si="63"/>
        <v>0</v>
      </c>
      <c r="AR128" s="300">
        <f>IF(AND(Simulador!$T$67=2,Simulador!$T$61=1),AL128,IF(AND(Simulador!$T$67=2,Simulador!$T$61=2),AM128,IF(AND(Simulador!$T$67=2,Simulador!$T$61=3),AN128,AO128)))</f>
        <v>0.092</v>
      </c>
      <c r="AS128" s="281"/>
      <c r="AT128" s="70">
        <f t="shared" si="72"/>
        <v>0</v>
      </c>
      <c r="AU128" s="70">
        <f t="shared" si="64"/>
        <v>0</v>
      </c>
      <c r="AV128" s="71">
        <f t="shared" si="53"/>
        <v>0</v>
      </c>
      <c r="AW128" s="70">
        <f t="shared" si="54"/>
        <v>0</v>
      </c>
      <c r="AX128" s="70">
        <f t="shared" si="65"/>
        <v>0</v>
      </c>
      <c r="AY128" s="72">
        <f t="shared" si="55"/>
      </c>
      <c r="AZ128" s="70">
        <f>_xlfn.IFERROR(IF(Simulador!$U$29=1,0,IF($AT128&lt;=0.01,0,$AT128*Simulador!$AA$42)),0)+_xlfn.IFERROR(IF(Simulador!$U$29=1,0,IF($AT128&lt;=0.01,0,IF(Simulador!$D$22&gt;0,Simulador!$D$22,Simulador!$O$24)*Simulador!$AA$43)),0)</f>
        <v>0</v>
      </c>
      <c r="BA128" s="73"/>
      <c r="BB128" s="70">
        <f t="shared" si="56"/>
        <v>0</v>
      </c>
      <c r="BC128">
        <f t="shared" si="66"/>
        <v>0</v>
      </c>
      <c r="BD128" s="431">
        <f t="shared" si="67"/>
      </c>
      <c r="BE128" s="432">
        <f t="shared" si="68"/>
        <v>0</v>
      </c>
      <c r="BF128" s="69">
        <v>114</v>
      </c>
      <c r="BG128" s="38"/>
      <c r="BH128" s="438"/>
      <c r="BJ128" s="69"/>
      <c r="BM128" s="432"/>
    </row>
    <row r="129" spans="1:65" ht="12">
      <c r="A129" s="531">
        <v>115</v>
      </c>
      <c r="B129" s="106">
        <f t="shared" si="69"/>
        <v>0</v>
      </c>
      <c r="C129" s="106"/>
      <c r="D129" s="107">
        <f>IF(B129+F129-D128&lt;=0,B129+F129,IF(AND(OR(Simulador!$U$38=2,Simulador!$U$38=7),J128=0),D128*(1+AA129),IF($AE$3=2,B129*AQ129,D128*(1+AA129))))</f>
        <v>0</v>
      </c>
      <c r="E129" s="107"/>
      <c r="F129" s="107">
        <f t="shared" si="50"/>
        <v>0</v>
      </c>
      <c r="G129" s="107"/>
      <c r="H129" s="107">
        <f t="shared" si="70"/>
        <v>0</v>
      </c>
      <c r="I129" s="108"/>
      <c r="J129" s="109"/>
      <c r="K129" s="108"/>
      <c r="L129" s="107">
        <f>IF(Simulador!$T$40=1,0,J129*Simulador!$W$38*1.16)</f>
        <v>0</v>
      </c>
      <c r="M129" s="107"/>
      <c r="N129" s="111"/>
      <c r="O129" s="13"/>
      <c r="P129" s="664">
        <f t="shared" si="51"/>
      </c>
      <c r="Q129" s="3"/>
      <c r="R129" s="107">
        <f t="shared" si="57"/>
        <v>0</v>
      </c>
      <c r="S129" s="107"/>
      <c r="T129" s="107">
        <f>_xlfn.IFERROR(IF(Simulador!$U$29=1,0,IF($B129&lt;=0,0,$B129*Simulador!$AA$42)),0)</f>
        <v>0</v>
      </c>
      <c r="U129" s="107"/>
      <c r="V129" s="107">
        <f>_xlfn.IFERROR(IF(Simulador!$U$29=1,0,IF($B129&lt;=0,0,IF(Simulador!$D$22&gt;0,Simulador!$D$22,Simulador!$O$24)*Simulador!$AA$43)),0)</f>
        <v>0</v>
      </c>
      <c r="W129" s="107"/>
      <c r="X129" s="107"/>
      <c r="Y129" s="107">
        <f t="shared" si="52"/>
        <v>0</v>
      </c>
      <c r="Z129" s="14"/>
      <c r="AA129" s="19"/>
      <c r="AB129" s="24"/>
      <c r="AC129" s="303">
        <v>9</v>
      </c>
      <c r="AD129" s="295">
        <v>7</v>
      </c>
      <c r="AE129" s="400">
        <f t="shared" si="58"/>
        <v>0</v>
      </c>
      <c r="AF129" s="279">
        <f t="shared" si="59"/>
        <v>0</v>
      </c>
      <c r="AG129" s="279">
        <f t="shared" si="60"/>
        <v>0</v>
      </c>
      <c r="AH129" s="418">
        <f t="shared" si="61"/>
        <v>0</v>
      </c>
      <c r="AI129" s="296">
        <f>IF(Simulador!$T$67=1,'Tabla de amortizacion'!AJ129,'Tabla de amortizacion'!AR129)</f>
        <v>0.09</v>
      </c>
      <c r="AJ129" s="297">
        <f t="shared" si="75"/>
        <v>0.09</v>
      </c>
      <c r="AK129" s="298">
        <f t="shared" si="62"/>
        <v>0</v>
      </c>
      <c r="AL129" s="298"/>
      <c r="AM129" s="297">
        <f t="shared" si="46"/>
        <v>0.092</v>
      </c>
      <c r="AN129" s="520">
        <f t="shared" si="47"/>
        <v>0.092</v>
      </c>
      <c r="AO129" s="520">
        <f t="shared" si="48"/>
        <v>0.092</v>
      </c>
      <c r="AP129" s="299">
        <v>0</v>
      </c>
      <c r="AQ129" s="414">
        <f t="shared" si="63"/>
        <v>0</v>
      </c>
      <c r="AR129" s="300">
        <f>IF(AND(Simulador!$T$67=2,Simulador!$T$61=1),AL129,IF(AND(Simulador!$T$67=2,Simulador!$T$61=2),AM129,IF(AND(Simulador!$T$67=2,Simulador!$T$61=3),AN129,AO129)))</f>
        <v>0.092</v>
      </c>
      <c r="AS129" s="281"/>
      <c r="AT129" s="70">
        <f t="shared" si="72"/>
        <v>0</v>
      </c>
      <c r="AU129" s="70">
        <f t="shared" si="64"/>
        <v>0</v>
      </c>
      <c r="AV129" s="71">
        <f t="shared" si="53"/>
        <v>0</v>
      </c>
      <c r="AW129" s="70">
        <f t="shared" si="54"/>
        <v>0</v>
      </c>
      <c r="AX129" s="70">
        <f t="shared" si="65"/>
        <v>0</v>
      </c>
      <c r="AY129" s="72">
        <f t="shared" si="55"/>
      </c>
      <c r="AZ129" s="70">
        <f>_xlfn.IFERROR(IF(Simulador!$U$29=1,0,IF($AT129&lt;=0.01,0,$AT129*Simulador!$AA$42)),0)+_xlfn.IFERROR(IF(Simulador!$U$29=1,0,IF($AT129&lt;=0.01,0,IF(Simulador!$D$22&gt;0,Simulador!$D$22,Simulador!$O$24)*Simulador!$AA$43)),0)</f>
        <v>0</v>
      </c>
      <c r="BA129" s="73"/>
      <c r="BB129" s="70">
        <f t="shared" si="56"/>
        <v>0</v>
      </c>
      <c r="BC129">
        <f t="shared" si="66"/>
        <v>0</v>
      </c>
      <c r="BD129" s="431">
        <f t="shared" si="67"/>
      </c>
      <c r="BE129" s="432">
        <f t="shared" si="68"/>
        <v>0</v>
      </c>
      <c r="BF129" s="69">
        <v>115</v>
      </c>
      <c r="BG129" s="38"/>
      <c r="BH129" s="438"/>
      <c r="BJ129" s="69"/>
      <c r="BM129" s="432"/>
    </row>
    <row r="130" spans="1:65" ht="12">
      <c r="A130" s="531">
        <v>116</v>
      </c>
      <c r="B130" s="106">
        <f t="shared" si="69"/>
        <v>0</v>
      </c>
      <c r="C130" s="106"/>
      <c r="D130" s="107">
        <f>IF(B130+F130-D129&lt;=0,B130+F130,IF(AND(OR(Simulador!$U$38=2,Simulador!$U$38=7),J129=0),D129*(1+AA130),IF($AE$3=2,B130*AQ130,D129*(1+AA130))))</f>
        <v>0</v>
      </c>
      <c r="E130" s="107"/>
      <c r="F130" s="107">
        <f t="shared" si="50"/>
        <v>0</v>
      </c>
      <c r="G130" s="107"/>
      <c r="H130" s="107">
        <f t="shared" si="70"/>
        <v>0</v>
      </c>
      <c r="I130" s="108"/>
      <c r="J130" s="109"/>
      <c r="K130" s="108"/>
      <c r="L130" s="107">
        <f>IF(Simulador!$T$40=1,0,J130*Simulador!$W$38*1.16)</f>
        <v>0</v>
      </c>
      <c r="M130" s="107"/>
      <c r="N130" s="110">
        <f>IF(B130-H130=0,0,N128)</f>
        <v>0</v>
      </c>
      <c r="O130" s="13"/>
      <c r="P130" s="664">
        <f t="shared" si="51"/>
      </c>
      <c r="Q130" s="3"/>
      <c r="R130" s="107">
        <f t="shared" si="57"/>
        <v>0</v>
      </c>
      <c r="S130" s="107"/>
      <c r="T130" s="107">
        <f>_xlfn.IFERROR(IF(Simulador!$U$29=1,0,IF($B130&lt;=0,0,$B130*Simulador!$AA$42)),0)</f>
        <v>0</v>
      </c>
      <c r="U130" s="107"/>
      <c r="V130" s="107">
        <f>_xlfn.IFERROR(IF(Simulador!$U$29=1,0,IF($B130&lt;=0,0,IF(Simulador!$D$22&gt;0,Simulador!$D$22,Simulador!$O$24)*Simulador!$AA$43)),0)</f>
        <v>0</v>
      </c>
      <c r="W130" s="107"/>
      <c r="X130" s="107"/>
      <c r="Y130" s="107">
        <f t="shared" si="52"/>
        <v>0</v>
      </c>
      <c r="Z130" s="14"/>
      <c r="AA130" s="19"/>
      <c r="AB130" s="24"/>
      <c r="AC130" s="303">
        <v>9</v>
      </c>
      <c r="AD130" s="295">
        <v>8</v>
      </c>
      <c r="AE130" s="400">
        <f t="shared" si="58"/>
        <v>0</v>
      </c>
      <c r="AF130" s="279">
        <f t="shared" si="59"/>
        <v>0</v>
      </c>
      <c r="AG130" s="279">
        <f t="shared" si="60"/>
        <v>0</v>
      </c>
      <c r="AH130" s="418">
        <f t="shared" si="61"/>
        <v>0</v>
      </c>
      <c r="AI130" s="296">
        <f>IF(Simulador!$T$67=1,'Tabla de amortizacion'!AJ130,'Tabla de amortizacion'!AR130)</f>
        <v>0.09</v>
      </c>
      <c r="AJ130" s="297">
        <f t="shared" si="75"/>
        <v>0.09</v>
      </c>
      <c r="AK130" s="298">
        <f t="shared" si="62"/>
        <v>0</v>
      </c>
      <c r="AL130" s="298"/>
      <c r="AM130" s="297">
        <f t="shared" si="46"/>
        <v>0.092</v>
      </c>
      <c r="AN130" s="520">
        <f t="shared" si="47"/>
        <v>0.092</v>
      </c>
      <c r="AO130" s="520">
        <f t="shared" si="48"/>
        <v>0.092</v>
      </c>
      <c r="AP130" s="299">
        <v>0</v>
      </c>
      <c r="AQ130" s="414">
        <f t="shared" si="63"/>
        <v>0</v>
      </c>
      <c r="AR130" s="300">
        <f>IF(AND(Simulador!$T$67=2,Simulador!$T$61=1),AL130,IF(AND(Simulador!$T$67=2,Simulador!$T$61=2),AM130,IF(AND(Simulador!$T$67=2,Simulador!$T$61=3),AN130,AO130)))</f>
        <v>0.092</v>
      </c>
      <c r="AS130" s="281"/>
      <c r="AT130" s="70">
        <f t="shared" si="72"/>
        <v>0</v>
      </c>
      <c r="AU130" s="70">
        <f t="shared" si="64"/>
        <v>0</v>
      </c>
      <c r="AV130" s="71">
        <f t="shared" si="53"/>
        <v>0</v>
      </c>
      <c r="AW130" s="70">
        <f t="shared" si="54"/>
        <v>0</v>
      </c>
      <c r="AX130" s="70">
        <f t="shared" si="65"/>
        <v>0</v>
      </c>
      <c r="AY130" s="72">
        <f t="shared" si="55"/>
      </c>
      <c r="AZ130" s="70">
        <f>_xlfn.IFERROR(IF(Simulador!$U$29=1,0,IF($AT130&lt;=0.01,0,$AT130*Simulador!$AA$42)),0)+_xlfn.IFERROR(IF(Simulador!$U$29=1,0,IF($AT130&lt;=0.01,0,IF(Simulador!$D$22&gt;0,Simulador!$D$22,Simulador!$O$24)*Simulador!$AA$43)),0)</f>
        <v>0</v>
      </c>
      <c r="BA130" s="73"/>
      <c r="BB130" s="70">
        <f t="shared" si="56"/>
        <v>0</v>
      </c>
      <c r="BC130">
        <f t="shared" si="66"/>
        <v>0</v>
      </c>
      <c r="BD130" s="431">
        <f t="shared" si="67"/>
      </c>
      <c r="BE130" s="432">
        <f t="shared" si="68"/>
        <v>0</v>
      </c>
      <c r="BF130" s="69">
        <v>116</v>
      </c>
      <c r="BG130" s="38"/>
      <c r="BH130" s="438"/>
      <c r="BJ130" s="69"/>
      <c r="BM130" s="432"/>
    </row>
    <row r="131" spans="1:65" ht="12">
      <c r="A131" s="531">
        <v>117</v>
      </c>
      <c r="B131" s="106">
        <f t="shared" si="69"/>
        <v>0</v>
      </c>
      <c r="C131" s="106"/>
      <c r="D131" s="107">
        <f>IF(B131+F131-D130&lt;=0,B131+F131,IF(AND(OR(Simulador!$U$38=2,Simulador!$U$38=7),J130=0),D130*(1+AA131),IF($AE$3=2,B131*AQ131,D130*(1+AA131))))</f>
        <v>0</v>
      </c>
      <c r="E131" s="107"/>
      <c r="F131" s="107">
        <f t="shared" si="50"/>
        <v>0</v>
      </c>
      <c r="G131" s="107"/>
      <c r="H131" s="107">
        <f t="shared" si="70"/>
        <v>0</v>
      </c>
      <c r="I131" s="108"/>
      <c r="J131" s="109"/>
      <c r="K131" s="108"/>
      <c r="L131" s="107">
        <f>IF(Simulador!$T$40=1,0,J131*Simulador!$W$38*1.16)</f>
        <v>0</v>
      </c>
      <c r="M131" s="107"/>
      <c r="N131" s="111"/>
      <c r="O131" s="13"/>
      <c r="P131" s="664">
        <f t="shared" si="51"/>
      </c>
      <c r="Q131" s="3"/>
      <c r="R131" s="107">
        <f t="shared" si="57"/>
        <v>0</v>
      </c>
      <c r="S131" s="107"/>
      <c r="T131" s="107">
        <f>_xlfn.IFERROR(IF(Simulador!$U$29=1,0,IF($B131&lt;=0,0,$B131*Simulador!$AA$42)),0)</f>
        <v>0</v>
      </c>
      <c r="U131" s="107"/>
      <c r="V131" s="107">
        <f>_xlfn.IFERROR(IF(Simulador!$U$29=1,0,IF($B131&lt;=0,0,IF(Simulador!$D$22&gt;0,Simulador!$D$22,Simulador!$O$24)*Simulador!$AA$43)),0)</f>
        <v>0</v>
      </c>
      <c r="W131" s="107"/>
      <c r="X131" s="107"/>
      <c r="Y131" s="107">
        <f t="shared" si="52"/>
        <v>0</v>
      </c>
      <c r="Z131" s="14"/>
      <c r="AA131" s="19"/>
      <c r="AB131" s="24"/>
      <c r="AC131" s="303">
        <v>9</v>
      </c>
      <c r="AD131" s="302">
        <v>9</v>
      </c>
      <c r="AE131" s="400">
        <f t="shared" si="58"/>
        <v>0</v>
      </c>
      <c r="AF131" s="279">
        <f t="shared" si="59"/>
        <v>0</v>
      </c>
      <c r="AG131" s="279">
        <f t="shared" si="60"/>
        <v>0</v>
      </c>
      <c r="AH131" s="418">
        <f t="shared" si="61"/>
        <v>0</v>
      </c>
      <c r="AI131" s="296">
        <f>IF(Simulador!$T$67=1,'Tabla de amortizacion'!AJ131,'Tabla de amortizacion'!AR131)</f>
        <v>0.09</v>
      </c>
      <c r="AJ131" s="297">
        <f t="shared" si="75"/>
        <v>0.09</v>
      </c>
      <c r="AK131" s="298">
        <f t="shared" si="62"/>
        <v>0</v>
      </c>
      <c r="AL131" s="298"/>
      <c r="AM131" s="297">
        <f t="shared" si="46"/>
        <v>0.092</v>
      </c>
      <c r="AN131" s="520">
        <f t="shared" si="47"/>
        <v>0.092</v>
      </c>
      <c r="AO131" s="520">
        <f t="shared" si="48"/>
        <v>0.092</v>
      </c>
      <c r="AP131" s="299">
        <v>0</v>
      </c>
      <c r="AQ131" s="414">
        <f t="shared" si="63"/>
        <v>0</v>
      </c>
      <c r="AR131" s="300">
        <f>IF(AND(Simulador!$T$67=2,Simulador!$T$61=1),AL131,IF(AND(Simulador!$T$67=2,Simulador!$T$61=2),AM131,IF(AND(Simulador!$T$67=2,Simulador!$T$61=3),AN131,AO131)))</f>
        <v>0.092</v>
      </c>
      <c r="AS131" s="281"/>
      <c r="AT131" s="70">
        <f t="shared" si="72"/>
        <v>0</v>
      </c>
      <c r="AU131" s="70">
        <f t="shared" si="64"/>
        <v>0</v>
      </c>
      <c r="AV131" s="71">
        <f t="shared" si="53"/>
        <v>0</v>
      </c>
      <c r="AW131" s="70">
        <f t="shared" si="54"/>
        <v>0</v>
      </c>
      <c r="AX131" s="70">
        <f t="shared" si="65"/>
        <v>0</v>
      </c>
      <c r="AY131" s="72">
        <f t="shared" si="55"/>
      </c>
      <c r="AZ131" s="70">
        <f>_xlfn.IFERROR(IF(Simulador!$U$29=1,0,IF($AT131&lt;=0.01,0,$AT131*Simulador!$AA$42)),0)+_xlfn.IFERROR(IF(Simulador!$U$29=1,0,IF($AT131&lt;=0.01,0,IF(Simulador!$D$22&gt;0,Simulador!$D$22,Simulador!$O$24)*Simulador!$AA$43)),0)</f>
        <v>0</v>
      </c>
      <c r="BA131" s="73"/>
      <c r="BB131" s="70">
        <f t="shared" si="56"/>
        <v>0</v>
      </c>
      <c r="BC131">
        <f t="shared" si="66"/>
        <v>0</v>
      </c>
      <c r="BD131" s="431">
        <f t="shared" si="67"/>
      </c>
      <c r="BE131" s="432">
        <f t="shared" si="68"/>
        <v>0</v>
      </c>
      <c r="BF131" s="69">
        <v>117</v>
      </c>
      <c r="BG131" s="38"/>
      <c r="BH131" s="438"/>
      <c r="BJ131" s="69"/>
      <c r="BM131" s="432"/>
    </row>
    <row r="132" spans="1:65" ht="12">
      <c r="A132" s="531">
        <v>118</v>
      </c>
      <c r="B132" s="106">
        <f t="shared" si="69"/>
        <v>0</v>
      </c>
      <c r="C132" s="106"/>
      <c r="D132" s="107">
        <f>IF(B132+F132-D131&lt;=0,B132+F132,IF(AND(OR(Simulador!$U$38=2,Simulador!$U$38=7),J131=0),D131*(1+AA132),IF($AE$3=2,B132*AQ132,D131*(1+AA132))))</f>
        <v>0</v>
      </c>
      <c r="E132" s="107"/>
      <c r="F132" s="107">
        <f t="shared" si="50"/>
        <v>0</v>
      </c>
      <c r="G132" s="107"/>
      <c r="H132" s="107">
        <f t="shared" si="70"/>
        <v>0</v>
      </c>
      <c r="I132" s="108"/>
      <c r="J132" s="109"/>
      <c r="K132" s="108"/>
      <c r="L132" s="107">
        <f>IF(Simulador!$T$40=1,0,J132*Simulador!$W$38*1.16)</f>
        <v>0</v>
      </c>
      <c r="M132" s="107"/>
      <c r="N132" s="110">
        <f>IF(B132-H132=0,0,N130)</f>
        <v>0</v>
      </c>
      <c r="O132" s="13"/>
      <c r="P132" s="664">
        <f t="shared" si="51"/>
      </c>
      <c r="Q132" s="3"/>
      <c r="R132" s="107">
        <f t="shared" si="57"/>
        <v>0</v>
      </c>
      <c r="S132" s="107"/>
      <c r="T132" s="107">
        <f>_xlfn.IFERROR(IF(Simulador!$U$29=1,0,IF($B132&lt;=0,0,$B132*Simulador!$AA$42)),0)</f>
        <v>0</v>
      </c>
      <c r="U132" s="107"/>
      <c r="V132" s="107">
        <f>_xlfn.IFERROR(IF(Simulador!$U$29=1,0,IF($B132&lt;=0,0,IF(Simulador!$D$22&gt;0,Simulador!$D$22,Simulador!$O$24)*Simulador!$AA$43)),0)</f>
        <v>0</v>
      </c>
      <c r="W132" s="107"/>
      <c r="X132" s="107"/>
      <c r="Y132" s="107">
        <f t="shared" si="52"/>
        <v>0</v>
      </c>
      <c r="Z132" s="14"/>
      <c r="AA132" s="19"/>
      <c r="AB132" s="24"/>
      <c r="AC132" s="303">
        <v>9</v>
      </c>
      <c r="AD132" s="302">
        <v>10</v>
      </c>
      <c r="AE132" s="400">
        <f t="shared" si="58"/>
        <v>0</v>
      </c>
      <c r="AF132" s="279">
        <f t="shared" si="59"/>
        <v>0</v>
      </c>
      <c r="AG132" s="279">
        <f t="shared" si="60"/>
        <v>0</v>
      </c>
      <c r="AH132" s="418">
        <f t="shared" si="61"/>
        <v>0</v>
      </c>
      <c r="AI132" s="296">
        <f>IF(Simulador!$T$67=1,'Tabla de amortizacion'!AJ132,'Tabla de amortizacion'!AR132)</f>
        <v>0.09</v>
      </c>
      <c r="AJ132" s="297">
        <f t="shared" si="75"/>
        <v>0.09</v>
      </c>
      <c r="AK132" s="298">
        <f t="shared" si="62"/>
        <v>0</v>
      </c>
      <c r="AL132" s="298"/>
      <c r="AM132" s="297">
        <f t="shared" si="46"/>
        <v>0.092</v>
      </c>
      <c r="AN132" s="520">
        <f t="shared" si="47"/>
        <v>0.092</v>
      </c>
      <c r="AO132" s="520">
        <f t="shared" si="48"/>
        <v>0.092</v>
      </c>
      <c r="AP132" s="299">
        <v>0</v>
      </c>
      <c r="AQ132" s="414">
        <f t="shared" si="63"/>
        <v>0</v>
      </c>
      <c r="AR132" s="300">
        <f>IF(AND(Simulador!$T$67=2,Simulador!$T$61=1),AL132,IF(AND(Simulador!$T$67=2,Simulador!$T$61=2),AM132,IF(AND(Simulador!$T$67=2,Simulador!$T$61=3),AN132,AO132)))</f>
        <v>0.092</v>
      </c>
      <c r="AS132" s="281"/>
      <c r="AT132" s="70">
        <f t="shared" si="72"/>
        <v>0</v>
      </c>
      <c r="AU132" s="70">
        <f t="shared" si="64"/>
        <v>0</v>
      </c>
      <c r="AV132" s="71">
        <f t="shared" si="53"/>
        <v>0</v>
      </c>
      <c r="AW132" s="70">
        <f t="shared" si="54"/>
        <v>0</v>
      </c>
      <c r="AX132" s="70">
        <f t="shared" si="65"/>
        <v>0</v>
      </c>
      <c r="AY132" s="72">
        <f t="shared" si="55"/>
      </c>
      <c r="AZ132" s="70">
        <f>_xlfn.IFERROR(IF(Simulador!$U$29=1,0,IF($AT132&lt;=0.01,0,$AT132*Simulador!$AA$42)),0)+_xlfn.IFERROR(IF(Simulador!$U$29=1,0,IF($AT132&lt;=0.01,0,IF(Simulador!$D$22&gt;0,Simulador!$D$22,Simulador!$O$24)*Simulador!$AA$43)),0)</f>
        <v>0</v>
      </c>
      <c r="BA132" s="73"/>
      <c r="BB132" s="70">
        <f t="shared" si="56"/>
        <v>0</v>
      </c>
      <c r="BC132">
        <f t="shared" si="66"/>
        <v>0</v>
      </c>
      <c r="BD132" s="431">
        <f t="shared" si="67"/>
      </c>
      <c r="BE132" s="432">
        <f t="shared" si="68"/>
        <v>0</v>
      </c>
      <c r="BF132" s="69">
        <v>118</v>
      </c>
      <c r="BG132" s="38"/>
      <c r="BH132" s="438"/>
      <c r="BJ132" s="69"/>
      <c r="BM132" s="432"/>
    </row>
    <row r="133" spans="1:65" ht="12">
      <c r="A133" s="531">
        <v>119</v>
      </c>
      <c r="B133" s="106">
        <f t="shared" si="69"/>
        <v>0</v>
      </c>
      <c r="C133" s="106"/>
      <c r="D133" s="107">
        <f>IF(B133+F133-D132&lt;=0,B133+F133,IF(AND(OR(Simulador!$U$38=2,Simulador!$U$38=7),J132=0),D132*(1+AA133),IF($AE$3=2,B133*AQ133,D132*(1+AA133))))</f>
        <v>0</v>
      </c>
      <c r="E133" s="107"/>
      <c r="F133" s="107">
        <f t="shared" si="50"/>
        <v>0</v>
      </c>
      <c r="G133" s="107"/>
      <c r="H133" s="107">
        <f t="shared" si="70"/>
        <v>0</v>
      </c>
      <c r="I133" s="108"/>
      <c r="J133" s="109"/>
      <c r="K133" s="108"/>
      <c r="L133" s="107">
        <f>IF(Simulador!$T$40=1,0,J133*Simulador!$W$38*1.16)</f>
        <v>0</v>
      </c>
      <c r="M133" s="107"/>
      <c r="N133" s="111"/>
      <c r="O133" s="13"/>
      <c r="P133" s="664">
        <f t="shared" si="51"/>
      </c>
      <c r="Q133" s="3"/>
      <c r="R133" s="107">
        <f t="shared" si="57"/>
        <v>0</v>
      </c>
      <c r="S133" s="107"/>
      <c r="T133" s="107">
        <f>_xlfn.IFERROR(IF(Simulador!$U$29=1,0,IF($B133&lt;=0,0,$B133*Simulador!$AA$42)),0)</f>
        <v>0</v>
      </c>
      <c r="U133" s="107"/>
      <c r="V133" s="107">
        <f>_xlfn.IFERROR(IF(Simulador!$U$29=1,0,IF($B133&lt;=0,0,IF(Simulador!$D$22&gt;0,Simulador!$D$22,Simulador!$O$24)*Simulador!$AA$43)),0)</f>
        <v>0</v>
      </c>
      <c r="W133" s="107"/>
      <c r="X133" s="107"/>
      <c r="Y133" s="107">
        <f t="shared" si="52"/>
        <v>0</v>
      </c>
      <c r="Z133" s="14"/>
      <c r="AA133" s="19"/>
      <c r="AB133" s="24"/>
      <c r="AC133" s="303">
        <v>9</v>
      </c>
      <c r="AD133" s="295">
        <v>11</v>
      </c>
      <c r="AE133" s="400">
        <f t="shared" si="58"/>
        <v>0</v>
      </c>
      <c r="AF133" s="279">
        <f t="shared" si="59"/>
        <v>0</v>
      </c>
      <c r="AG133" s="279">
        <f t="shared" si="60"/>
        <v>0</v>
      </c>
      <c r="AH133" s="418">
        <f t="shared" si="61"/>
        <v>0</v>
      </c>
      <c r="AI133" s="296">
        <f>IF(Simulador!$T$67=1,'Tabla de amortizacion'!AJ133,'Tabla de amortizacion'!AR133)</f>
        <v>0.09</v>
      </c>
      <c r="AJ133" s="297">
        <f t="shared" si="75"/>
        <v>0.09</v>
      </c>
      <c r="AK133" s="298">
        <f t="shared" si="62"/>
        <v>0</v>
      </c>
      <c r="AL133" s="298"/>
      <c r="AM133" s="297">
        <f t="shared" si="46"/>
        <v>0.092</v>
      </c>
      <c r="AN133" s="520">
        <f t="shared" si="47"/>
        <v>0.092</v>
      </c>
      <c r="AO133" s="520">
        <f t="shared" si="48"/>
        <v>0.092</v>
      </c>
      <c r="AP133" s="299">
        <v>0</v>
      </c>
      <c r="AQ133" s="414">
        <f t="shared" si="63"/>
        <v>0</v>
      </c>
      <c r="AR133" s="300">
        <f>IF(AND(Simulador!$T$67=2,Simulador!$T$61=1),AL133,IF(AND(Simulador!$T$67=2,Simulador!$T$61=2),AM133,IF(AND(Simulador!$T$67=2,Simulador!$T$61=3),AN133,AO133)))</f>
        <v>0.092</v>
      </c>
      <c r="AS133" s="281"/>
      <c r="AT133" s="70">
        <f t="shared" si="72"/>
        <v>0</v>
      </c>
      <c r="AU133" s="70">
        <f t="shared" si="64"/>
        <v>0</v>
      </c>
      <c r="AV133" s="71">
        <f t="shared" si="53"/>
        <v>0</v>
      </c>
      <c r="AW133" s="70">
        <f t="shared" si="54"/>
        <v>0</v>
      </c>
      <c r="AX133" s="70">
        <f t="shared" si="65"/>
        <v>0</v>
      </c>
      <c r="AY133" s="72">
        <f t="shared" si="55"/>
      </c>
      <c r="AZ133" s="70">
        <f>_xlfn.IFERROR(IF(Simulador!$U$29=1,0,IF($AT133&lt;=0.01,0,$AT133*Simulador!$AA$42)),0)+_xlfn.IFERROR(IF(Simulador!$U$29=1,0,IF($AT133&lt;=0.01,0,IF(Simulador!$D$22&gt;0,Simulador!$D$22,Simulador!$O$24)*Simulador!$AA$43)),0)</f>
        <v>0</v>
      </c>
      <c r="BA133" s="73"/>
      <c r="BB133" s="70">
        <f t="shared" si="56"/>
        <v>0</v>
      </c>
      <c r="BC133">
        <f t="shared" si="66"/>
        <v>0</v>
      </c>
      <c r="BD133" s="431">
        <f t="shared" si="67"/>
      </c>
      <c r="BE133" s="432">
        <f t="shared" si="68"/>
        <v>0</v>
      </c>
      <c r="BF133" s="69">
        <v>119</v>
      </c>
      <c r="BG133" s="38"/>
      <c r="BH133" s="438"/>
      <c r="BJ133" s="69"/>
      <c r="BM133" s="432"/>
    </row>
    <row r="134" spans="1:65" ht="12">
      <c r="A134" s="531">
        <v>120</v>
      </c>
      <c r="B134" s="106">
        <f t="shared" si="69"/>
        <v>0</v>
      </c>
      <c r="C134" s="106"/>
      <c r="D134" s="107">
        <f>IF(B134+F134-D133&lt;=0,B134+F134,IF(AND(OR(Simulador!$U$38=2,Simulador!$U$38=7),J133=0),D133*(1+AA134),IF($AE$3=2,B134*AQ134,D133*(1+AA134))))</f>
        <v>0</v>
      </c>
      <c r="E134" s="107"/>
      <c r="F134" s="107">
        <f t="shared" si="50"/>
        <v>0</v>
      </c>
      <c r="G134" s="107"/>
      <c r="H134" s="107">
        <f t="shared" si="70"/>
        <v>0</v>
      </c>
      <c r="I134" s="108"/>
      <c r="J134" s="109"/>
      <c r="K134" s="108"/>
      <c r="L134" s="107">
        <f>IF(Simulador!$T$40=1,0,J134*Simulador!$W$38*1.16)</f>
        <v>0</v>
      </c>
      <c r="M134" s="107"/>
      <c r="N134" s="110">
        <f>IF(B134-H134=0,0,N132)</f>
        <v>0</v>
      </c>
      <c r="O134" s="13"/>
      <c r="P134" s="664">
        <f t="shared" si="51"/>
      </c>
      <c r="Q134" s="3"/>
      <c r="R134" s="107">
        <f t="shared" si="57"/>
        <v>0</v>
      </c>
      <c r="S134" s="107"/>
      <c r="T134" s="107">
        <f>_xlfn.IFERROR(IF(Simulador!$U$29=1,0,IF($B134&lt;=0,0,$B134*Simulador!$AA$42)),0)</f>
        <v>0</v>
      </c>
      <c r="U134" s="107"/>
      <c r="V134" s="107">
        <f>_xlfn.IFERROR(IF(Simulador!$U$29=1,0,IF($B134&lt;=0,0,IF(Simulador!$D$22&gt;0,Simulador!$D$22,Simulador!$O$24)*Simulador!$AA$43)),0)</f>
        <v>0</v>
      </c>
      <c r="W134" s="107"/>
      <c r="X134" s="107"/>
      <c r="Y134" s="107">
        <f t="shared" si="52"/>
        <v>0</v>
      </c>
      <c r="Z134" s="14"/>
      <c r="AA134" s="19"/>
      <c r="AB134" s="24"/>
      <c r="AC134" s="303">
        <v>10</v>
      </c>
      <c r="AD134" s="295">
        <v>0</v>
      </c>
      <c r="AE134" s="400">
        <f t="shared" si="58"/>
        <v>0</v>
      </c>
      <c r="AF134" s="279">
        <f t="shared" si="59"/>
        <v>0</v>
      </c>
      <c r="AG134" s="279">
        <f t="shared" si="60"/>
        <v>0</v>
      </c>
      <c r="AH134" s="418">
        <f t="shared" si="61"/>
        <v>0</v>
      </c>
      <c r="AI134" s="296">
        <f>IF(Simulador!$T$67=1,'Tabla de amortizacion'!AJ134,'Tabla de amortizacion'!AR134)</f>
        <v>0.09</v>
      </c>
      <c r="AJ134" s="297">
        <f t="shared" si="75"/>
        <v>0.09</v>
      </c>
      <c r="AK134" s="298">
        <f t="shared" si="62"/>
        <v>0</v>
      </c>
      <c r="AL134" s="298"/>
      <c r="AM134" s="297">
        <f t="shared" si="46"/>
        <v>0.092</v>
      </c>
      <c r="AN134" s="520">
        <f t="shared" si="47"/>
        <v>0.092</v>
      </c>
      <c r="AO134" s="520">
        <f t="shared" si="48"/>
        <v>0.092</v>
      </c>
      <c r="AP134" s="299">
        <v>0</v>
      </c>
      <c r="AQ134" s="414">
        <f t="shared" si="63"/>
        <v>0</v>
      </c>
      <c r="AR134" s="300">
        <f>IF(AND(Simulador!$T$67=2,Simulador!$T$61=1),AL134,IF(AND(Simulador!$T$67=2,Simulador!$T$61=2),AM134,IF(AND(Simulador!$T$67=2,Simulador!$T$61=3),AN134,AO134)))</f>
        <v>0.092</v>
      </c>
      <c r="AS134" s="281"/>
      <c r="AT134" s="70">
        <f t="shared" si="72"/>
        <v>0</v>
      </c>
      <c r="AU134" s="70">
        <f t="shared" si="64"/>
        <v>0</v>
      </c>
      <c r="AV134" s="71">
        <f t="shared" si="53"/>
        <v>0</v>
      </c>
      <c r="AW134" s="70">
        <f t="shared" si="54"/>
        <v>0</v>
      </c>
      <c r="AX134" s="70">
        <f t="shared" si="65"/>
        <v>0</v>
      </c>
      <c r="AY134" s="72">
        <f t="shared" si="55"/>
      </c>
      <c r="AZ134" s="70">
        <f>_xlfn.IFERROR(IF(Simulador!$U$29=1,0,IF($AT134&lt;=0.01,0,$AT134*Simulador!$AA$42)),0)+_xlfn.IFERROR(IF(Simulador!$U$29=1,0,IF($AT134&lt;=0.01,0,IF(Simulador!$D$22&gt;0,Simulador!$D$22,Simulador!$O$24)*Simulador!$AA$43)),0)</f>
        <v>0</v>
      </c>
      <c r="BA134" s="73"/>
      <c r="BB134" s="70">
        <f t="shared" si="56"/>
        <v>0</v>
      </c>
      <c r="BC134">
        <f t="shared" si="66"/>
        <v>0</v>
      </c>
      <c r="BD134" s="431">
        <f t="shared" si="67"/>
      </c>
      <c r="BE134" s="432">
        <f t="shared" si="68"/>
        <v>0</v>
      </c>
      <c r="BF134" s="69">
        <v>120</v>
      </c>
      <c r="BG134" s="38"/>
      <c r="BH134" s="438"/>
      <c r="BJ134" s="69"/>
      <c r="BM134" s="432"/>
    </row>
    <row r="135" spans="1:65" ht="12">
      <c r="A135" s="531">
        <v>121</v>
      </c>
      <c r="B135" s="106">
        <f t="shared" si="69"/>
        <v>0</v>
      </c>
      <c r="C135" s="106"/>
      <c r="D135" s="107">
        <f>IF(B135+F135-D134&lt;=0,B135+F135,IF(AND(OR(Simulador!$U$38=2,Simulador!$U$38=7),J134=0),D134*(1+AA135),IF($AE$3=2,B135*AQ135,D134*(1+AA135))))</f>
        <v>0</v>
      </c>
      <c r="E135" s="107"/>
      <c r="F135" s="107">
        <f t="shared" si="50"/>
        <v>0</v>
      </c>
      <c r="G135" s="107"/>
      <c r="H135" s="107">
        <f t="shared" si="70"/>
        <v>0</v>
      </c>
      <c r="I135" s="108"/>
      <c r="J135" s="109"/>
      <c r="K135" s="108"/>
      <c r="L135" s="107">
        <f>IF(Simulador!$T$40=1,0,J135*Simulador!$W$38*1.16)</f>
        <v>0</v>
      </c>
      <c r="M135" s="107"/>
      <c r="N135" s="111"/>
      <c r="O135" s="13"/>
      <c r="P135" s="664">
        <f t="shared" si="51"/>
      </c>
      <c r="Q135" s="3"/>
      <c r="R135" s="107">
        <f t="shared" si="57"/>
        <v>0</v>
      </c>
      <c r="S135" s="107"/>
      <c r="T135" s="107">
        <f>_xlfn.IFERROR(IF(Simulador!$U$29=1,0,IF($B135&lt;=0,0,$B135*Simulador!$AA$42)),0)</f>
        <v>0</v>
      </c>
      <c r="U135" s="107"/>
      <c r="V135" s="107">
        <f>_xlfn.IFERROR(IF(Simulador!$U$29=1,0,IF($B135&lt;=0,0,IF(Simulador!$D$22&gt;0,Simulador!$D$22,Simulador!$O$24)*Simulador!$AA$43)),0)</f>
        <v>0</v>
      </c>
      <c r="W135" s="107"/>
      <c r="X135" s="107"/>
      <c r="Y135" s="107">
        <f t="shared" si="52"/>
        <v>0</v>
      </c>
      <c r="Z135" s="14"/>
      <c r="AA135" s="19">
        <f>IF(B135&lt;=0,0,Simulador!$I$42)</f>
        <v>0</v>
      </c>
      <c r="AB135" s="24"/>
      <c r="AC135" s="303">
        <v>10</v>
      </c>
      <c r="AD135" s="295">
        <v>1</v>
      </c>
      <c r="AE135" s="400">
        <f t="shared" si="58"/>
        <v>0</v>
      </c>
      <c r="AF135" s="279">
        <f t="shared" si="59"/>
        <v>0</v>
      </c>
      <c r="AG135" s="279">
        <f t="shared" si="60"/>
        <v>0</v>
      </c>
      <c r="AH135" s="418">
        <f t="shared" si="61"/>
        <v>0</v>
      </c>
      <c r="AI135" s="296">
        <f>IF(Simulador!$T$67=1,'Tabla de amortizacion'!AJ135,'Tabla de amortizacion'!AR135)</f>
        <v>0.09</v>
      </c>
      <c r="AJ135" s="297">
        <f>IF(AJ134=$AM$4,AJ134,IF(AJ134-0.25%&lt;=$AM$4,$AM$4,AJ134-0.25%))</f>
        <v>0.09</v>
      </c>
      <c r="AK135" s="298">
        <f t="shared" si="62"/>
        <v>0</v>
      </c>
      <c r="AL135" s="298"/>
      <c r="AM135" s="304"/>
      <c r="AN135" s="520">
        <f t="shared" si="47"/>
        <v>0.092</v>
      </c>
      <c r="AO135" s="520">
        <f t="shared" si="48"/>
        <v>0.092</v>
      </c>
      <c r="AP135" s="299">
        <v>0</v>
      </c>
      <c r="AQ135" s="414">
        <f t="shared" si="63"/>
        <v>0</v>
      </c>
      <c r="AR135" s="300">
        <f>IF(AND(Simulador!$T$67=2,Simulador!$T$61=1),AL135,IF(AND(Simulador!$T$67=2,Simulador!$T$61=2),AM135,IF(AND(Simulador!$T$67=2,Simulador!$T$61=3),AN135,AO135)))</f>
        <v>0.092</v>
      </c>
      <c r="AS135" s="281"/>
      <c r="AT135" s="70">
        <f t="shared" si="72"/>
        <v>0</v>
      </c>
      <c r="AU135" s="70">
        <f t="shared" si="64"/>
        <v>0</v>
      </c>
      <c r="AV135" s="71">
        <f t="shared" si="53"/>
        <v>0</v>
      </c>
      <c r="AW135" s="70">
        <f t="shared" si="54"/>
        <v>0</v>
      </c>
      <c r="AX135" s="70">
        <f t="shared" si="65"/>
        <v>0</v>
      </c>
      <c r="AY135" s="72">
        <f t="shared" si="55"/>
      </c>
      <c r="AZ135" s="70">
        <f>_xlfn.IFERROR(IF(Simulador!$U$29=1,0,IF($AT135&lt;=0.01,0,$AT135*Simulador!$AA$42)),0)+_xlfn.IFERROR(IF(Simulador!$U$29=1,0,IF($AT135&lt;=0.01,0,IF(Simulador!$D$22&gt;0,Simulador!$D$22,Simulador!$O$24)*Simulador!$AA$43)),0)</f>
        <v>0</v>
      </c>
      <c r="BA135" s="73">
        <f>IF(AT135&lt;=0,0,$BA$27)</f>
        <v>0</v>
      </c>
      <c r="BB135" s="70">
        <f t="shared" si="56"/>
        <v>0</v>
      </c>
      <c r="BC135">
        <f t="shared" si="66"/>
        <v>0</v>
      </c>
      <c r="BD135" s="431">
        <f t="shared" si="67"/>
      </c>
      <c r="BE135" s="432">
        <f t="shared" si="68"/>
        <v>0</v>
      </c>
      <c r="BF135" s="69">
        <v>121</v>
      </c>
      <c r="BG135" s="38"/>
      <c r="BH135" s="438"/>
      <c r="BJ135" s="69"/>
      <c r="BM135" s="432"/>
    </row>
    <row r="136" spans="1:65" ht="12">
      <c r="A136" s="531">
        <v>122</v>
      </c>
      <c r="B136" s="106">
        <f t="shared" si="69"/>
        <v>0</v>
      </c>
      <c r="C136" s="106"/>
      <c r="D136" s="107">
        <f>IF(B136+F136-D135&lt;=0,B136+F136,IF(AND(OR(Simulador!$U$38=2,Simulador!$U$38=7),J135=0),D135*(1+AA136),IF($AE$3=2,B136*AQ136,D135*(1+AA136))))</f>
        <v>0</v>
      </c>
      <c r="E136" s="107"/>
      <c r="F136" s="107">
        <f t="shared" si="50"/>
        <v>0</v>
      </c>
      <c r="G136" s="107"/>
      <c r="H136" s="107">
        <f t="shared" si="70"/>
        <v>0</v>
      </c>
      <c r="I136" s="108"/>
      <c r="J136" s="109"/>
      <c r="K136" s="108"/>
      <c r="L136" s="107">
        <f>IF(Simulador!$T$40=1,0,J136*Simulador!$W$38*1.16)</f>
        <v>0</v>
      </c>
      <c r="M136" s="107"/>
      <c r="N136" s="110">
        <f>IF(B136-H136=0,0,N134*(1+(Simulador!$AF$76)))</f>
        <v>0</v>
      </c>
      <c r="O136" s="13"/>
      <c r="P136" s="664">
        <f t="shared" si="51"/>
      </c>
      <c r="Q136" s="3"/>
      <c r="R136" s="107">
        <f t="shared" si="57"/>
        <v>0</v>
      </c>
      <c r="S136" s="107"/>
      <c r="T136" s="107">
        <f>_xlfn.IFERROR(IF(Simulador!$U$29=1,0,IF($B136&lt;=0,0,$B136*Simulador!$AA$42)),0)</f>
        <v>0</v>
      </c>
      <c r="U136" s="107"/>
      <c r="V136" s="107">
        <f>_xlfn.IFERROR(IF(Simulador!$U$29=1,0,IF($B136&lt;=0,0,IF(Simulador!$D$22&gt;0,Simulador!$D$22,Simulador!$O$24)*Simulador!$AA$43)),0)</f>
        <v>0</v>
      </c>
      <c r="W136" s="107"/>
      <c r="X136" s="107"/>
      <c r="Y136" s="107">
        <f t="shared" si="52"/>
        <v>0</v>
      </c>
      <c r="Z136" s="14"/>
      <c r="AA136" s="19"/>
      <c r="AB136" s="24"/>
      <c r="AC136" s="303">
        <v>10</v>
      </c>
      <c r="AD136" s="301">
        <v>2</v>
      </c>
      <c r="AE136" s="400">
        <f t="shared" si="58"/>
        <v>0</v>
      </c>
      <c r="AF136" s="279">
        <f t="shared" si="59"/>
        <v>0</v>
      </c>
      <c r="AG136" s="279">
        <f t="shared" si="60"/>
        <v>0</v>
      </c>
      <c r="AH136" s="418">
        <f t="shared" si="61"/>
        <v>0</v>
      </c>
      <c r="AI136" s="296">
        <f>IF(Simulador!$T$67=1,'Tabla de amortizacion'!AJ136,'Tabla de amortizacion'!AR136)</f>
        <v>0.09</v>
      </c>
      <c r="AJ136" s="297">
        <f>AJ135</f>
        <v>0.09</v>
      </c>
      <c r="AK136" s="298">
        <f t="shared" si="62"/>
        <v>0</v>
      </c>
      <c r="AL136" s="298"/>
      <c r="AM136" s="304"/>
      <c r="AN136" s="520">
        <f t="shared" si="47"/>
        <v>0.092</v>
      </c>
      <c r="AO136" s="520">
        <f t="shared" si="48"/>
        <v>0.092</v>
      </c>
      <c r="AP136" s="299">
        <v>0</v>
      </c>
      <c r="AQ136" s="414">
        <f t="shared" si="63"/>
        <v>0</v>
      </c>
      <c r="AR136" s="300">
        <f>IF(AND(Simulador!$T$67=2,Simulador!$T$61=1),AL136,IF(AND(Simulador!$T$67=2,Simulador!$T$61=2),AM136,IF(AND(Simulador!$T$67=2,Simulador!$T$61=3),AN136,AO136)))</f>
        <v>0.092</v>
      </c>
      <c r="AS136" s="281"/>
      <c r="AT136" s="70">
        <f t="shared" si="72"/>
        <v>0</v>
      </c>
      <c r="AU136" s="70">
        <f t="shared" si="64"/>
        <v>0</v>
      </c>
      <c r="AV136" s="71">
        <f t="shared" si="53"/>
        <v>0</v>
      </c>
      <c r="AW136" s="70">
        <f t="shared" si="54"/>
        <v>0</v>
      </c>
      <c r="AX136" s="70">
        <f t="shared" si="65"/>
        <v>0</v>
      </c>
      <c r="AY136" s="72">
        <f t="shared" si="55"/>
      </c>
      <c r="AZ136" s="70">
        <f>_xlfn.IFERROR(IF(Simulador!$U$29=1,0,IF($AT136&lt;=0.01,0,$AT136*Simulador!$AA$42)),0)+_xlfn.IFERROR(IF(Simulador!$U$29=1,0,IF($AT136&lt;=0.01,0,IF(Simulador!$D$22&gt;0,Simulador!$D$22,Simulador!$O$24)*Simulador!$AA$43)),0)</f>
        <v>0</v>
      </c>
      <c r="BA136" s="73"/>
      <c r="BB136" s="70">
        <f t="shared" si="56"/>
        <v>0</v>
      </c>
      <c r="BC136">
        <f t="shared" si="66"/>
        <v>0</v>
      </c>
      <c r="BD136" s="431">
        <f t="shared" si="67"/>
      </c>
      <c r="BE136" s="432">
        <f t="shared" si="68"/>
        <v>0</v>
      </c>
      <c r="BF136" s="69">
        <v>122</v>
      </c>
      <c r="BG136" s="38"/>
      <c r="BH136" s="438"/>
      <c r="BJ136" s="69"/>
      <c r="BM136" s="432"/>
    </row>
    <row r="137" spans="1:65" ht="12">
      <c r="A137" s="531">
        <v>123</v>
      </c>
      <c r="B137" s="106">
        <f t="shared" si="69"/>
        <v>0</v>
      </c>
      <c r="C137" s="106"/>
      <c r="D137" s="107">
        <f>IF(B137+F137-D136&lt;=0,B137+F137,IF(AND(OR(Simulador!$U$38=2,Simulador!$U$38=7),J136=0),D136*(1+AA137),IF($AE$3=2,B137*AQ137,D136*(1+AA137))))</f>
        <v>0</v>
      </c>
      <c r="E137" s="107"/>
      <c r="F137" s="107">
        <f t="shared" si="50"/>
        <v>0</v>
      </c>
      <c r="G137" s="107"/>
      <c r="H137" s="107">
        <f t="shared" si="70"/>
        <v>0</v>
      </c>
      <c r="I137" s="108"/>
      <c r="J137" s="109"/>
      <c r="K137" s="108"/>
      <c r="L137" s="107">
        <f>IF(Simulador!$T$40=1,0,J137*Simulador!$W$38*1.16)</f>
        <v>0</v>
      </c>
      <c r="M137" s="107"/>
      <c r="N137" s="111"/>
      <c r="O137" s="13"/>
      <c r="P137" s="664">
        <f t="shared" si="51"/>
      </c>
      <c r="Q137" s="3"/>
      <c r="R137" s="107">
        <f t="shared" si="57"/>
        <v>0</v>
      </c>
      <c r="S137" s="107"/>
      <c r="T137" s="107">
        <f>_xlfn.IFERROR(IF(Simulador!$U$29=1,0,IF($B137&lt;=0,0,$B137*Simulador!$AA$42)),0)</f>
        <v>0</v>
      </c>
      <c r="U137" s="107"/>
      <c r="V137" s="107">
        <f>_xlfn.IFERROR(IF(Simulador!$U$29=1,0,IF($B137&lt;=0,0,IF(Simulador!$D$22&gt;0,Simulador!$D$22,Simulador!$O$24)*Simulador!$AA$43)),0)</f>
        <v>0</v>
      </c>
      <c r="W137" s="107"/>
      <c r="X137" s="107"/>
      <c r="Y137" s="107">
        <f t="shared" si="52"/>
        <v>0</v>
      </c>
      <c r="Z137" s="14"/>
      <c r="AA137" s="19"/>
      <c r="AB137" s="24"/>
      <c r="AC137" s="303">
        <v>10</v>
      </c>
      <c r="AD137" s="301">
        <v>3</v>
      </c>
      <c r="AE137" s="400">
        <f t="shared" si="58"/>
        <v>0</v>
      </c>
      <c r="AF137" s="279">
        <f t="shared" si="59"/>
        <v>0</v>
      </c>
      <c r="AG137" s="279">
        <f t="shared" si="60"/>
        <v>0</v>
      </c>
      <c r="AH137" s="418">
        <f t="shared" si="61"/>
        <v>0</v>
      </c>
      <c r="AI137" s="296">
        <f>IF(Simulador!$T$67=1,'Tabla de amortizacion'!AJ137,'Tabla de amortizacion'!AR137)</f>
        <v>0.09</v>
      </c>
      <c r="AJ137" s="297">
        <f aca="true" t="shared" si="76" ref="AJ137:AJ146">AJ136</f>
        <v>0.09</v>
      </c>
      <c r="AK137" s="298">
        <f t="shared" si="62"/>
        <v>0</v>
      </c>
      <c r="AL137" s="298"/>
      <c r="AM137" s="304"/>
      <c r="AN137" s="520">
        <f t="shared" si="47"/>
        <v>0.092</v>
      </c>
      <c r="AO137" s="520">
        <f t="shared" si="48"/>
        <v>0.092</v>
      </c>
      <c r="AP137" s="299">
        <v>0</v>
      </c>
      <c r="AQ137" s="414">
        <f t="shared" si="63"/>
        <v>0</v>
      </c>
      <c r="AR137" s="300">
        <f>IF(AND(Simulador!$T$67=2,Simulador!$T$61=1),AL137,IF(AND(Simulador!$T$67=2,Simulador!$T$61=2),AM137,IF(AND(Simulador!$T$67=2,Simulador!$T$61=3),AN137,AO137)))</f>
        <v>0.092</v>
      </c>
      <c r="AS137" s="281"/>
      <c r="AT137" s="70">
        <f t="shared" si="72"/>
        <v>0</v>
      </c>
      <c r="AU137" s="70">
        <f t="shared" si="64"/>
        <v>0</v>
      </c>
      <c r="AV137" s="71">
        <f t="shared" si="53"/>
        <v>0</v>
      </c>
      <c r="AW137" s="70">
        <f t="shared" si="54"/>
        <v>0</v>
      </c>
      <c r="AX137" s="70">
        <f t="shared" si="65"/>
        <v>0</v>
      </c>
      <c r="AY137" s="72">
        <f t="shared" si="55"/>
      </c>
      <c r="AZ137" s="70">
        <f>_xlfn.IFERROR(IF(Simulador!$U$29=1,0,IF($AT137&lt;=0.01,0,$AT137*Simulador!$AA$42)),0)+_xlfn.IFERROR(IF(Simulador!$U$29=1,0,IF($AT137&lt;=0.01,0,IF(Simulador!$D$22&gt;0,Simulador!$D$22,Simulador!$O$24)*Simulador!$AA$43)),0)</f>
        <v>0</v>
      </c>
      <c r="BA137" s="73"/>
      <c r="BB137" s="70">
        <f t="shared" si="56"/>
        <v>0</v>
      </c>
      <c r="BC137">
        <f t="shared" si="66"/>
        <v>0</v>
      </c>
      <c r="BD137" s="431">
        <f t="shared" si="67"/>
      </c>
      <c r="BE137" s="432">
        <f t="shared" si="68"/>
        <v>0</v>
      </c>
      <c r="BF137" s="69">
        <v>123</v>
      </c>
      <c r="BG137" s="38"/>
      <c r="BJ137" s="69"/>
      <c r="BM137" s="432"/>
    </row>
    <row r="138" spans="1:65" ht="12">
      <c r="A138" s="531">
        <v>124</v>
      </c>
      <c r="B138" s="106">
        <f t="shared" si="69"/>
        <v>0</v>
      </c>
      <c r="C138" s="106"/>
      <c r="D138" s="107">
        <f>IF(B138+F138-D137&lt;=0,B138+F138,IF(AND(OR(Simulador!$U$38=2,Simulador!$U$38=7),J137=0),D137*(1+AA138),IF($AE$3=2,B138*AQ138,D137*(1+AA138))))</f>
        <v>0</v>
      </c>
      <c r="E138" s="107"/>
      <c r="F138" s="107">
        <f t="shared" si="50"/>
        <v>0</v>
      </c>
      <c r="G138" s="107"/>
      <c r="H138" s="107">
        <f t="shared" si="70"/>
        <v>0</v>
      </c>
      <c r="I138" s="108"/>
      <c r="J138" s="109"/>
      <c r="K138" s="108"/>
      <c r="L138" s="107">
        <f>IF(Simulador!$T$40=1,0,J138*Simulador!$W$38*1.16)</f>
        <v>0</v>
      </c>
      <c r="M138" s="107"/>
      <c r="N138" s="110">
        <f>IF(B138-H138=0,0,N136)</f>
        <v>0</v>
      </c>
      <c r="O138" s="13"/>
      <c r="P138" s="664">
        <f t="shared" si="51"/>
      </c>
      <c r="Q138" s="3"/>
      <c r="R138" s="107">
        <f t="shared" si="57"/>
        <v>0</v>
      </c>
      <c r="S138" s="107"/>
      <c r="T138" s="107">
        <f>_xlfn.IFERROR(IF(Simulador!$U$29=1,0,IF($B138&lt;=0,0,$B138*Simulador!$AA$42)),0)</f>
        <v>0</v>
      </c>
      <c r="U138" s="107"/>
      <c r="V138" s="107">
        <f>_xlfn.IFERROR(IF(Simulador!$U$29=1,0,IF($B138&lt;=0,0,IF(Simulador!$D$22&gt;0,Simulador!$D$22,Simulador!$O$24)*Simulador!$AA$43)),0)</f>
        <v>0</v>
      </c>
      <c r="W138" s="107"/>
      <c r="X138" s="107"/>
      <c r="Y138" s="107">
        <f t="shared" si="52"/>
        <v>0</v>
      </c>
      <c r="Z138" s="14"/>
      <c r="AA138" s="19"/>
      <c r="AB138" s="24"/>
      <c r="AC138" s="303">
        <v>10</v>
      </c>
      <c r="AD138" s="295">
        <v>4</v>
      </c>
      <c r="AE138" s="400">
        <f t="shared" si="58"/>
        <v>0</v>
      </c>
      <c r="AF138" s="279">
        <f t="shared" si="59"/>
        <v>0</v>
      </c>
      <c r="AG138" s="279">
        <f t="shared" si="60"/>
        <v>0</v>
      </c>
      <c r="AH138" s="418">
        <f t="shared" si="61"/>
        <v>0</v>
      </c>
      <c r="AI138" s="296">
        <f>IF(Simulador!$T$67=1,'Tabla de amortizacion'!AJ138,'Tabla de amortizacion'!AR138)</f>
        <v>0.09</v>
      </c>
      <c r="AJ138" s="297">
        <f t="shared" si="76"/>
        <v>0.09</v>
      </c>
      <c r="AK138" s="298">
        <f t="shared" si="62"/>
        <v>0</v>
      </c>
      <c r="AL138" s="298"/>
      <c r="AM138" s="304"/>
      <c r="AN138" s="520">
        <f aca="true" t="shared" si="77" ref="AN138:AO194">AN137</f>
        <v>0.092</v>
      </c>
      <c r="AO138" s="520">
        <f t="shared" si="77"/>
        <v>0.092</v>
      </c>
      <c r="AP138" s="299">
        <v>0</v>
      </c>
      <c r="AQ138" s="414">
        <f t="shared" si="63"/>
        <v>0</v>
      </c>
      <c r="AR138" s="300">
        <f>IF(AND(Simulador!$T$67=2,Simulador!$T$61=1),AL138,IF(AND(Simulador!$T$67=2,Simulador!$T$61=2),AM138,IF(AND(Simulador!$T$67=2,Simulador!$T$61=3),AN138,AO138)))</f>
        <v>0.092</v>
      </c>
      <c r="AS138" s="281"/>
      <c r="AT138" s="70">
        <f t="shared" si="72"/>
        <v>0</v>
      </c>
      <c r="AU138" s="70">
        <f t="shared" si="64"/>
        <v>0</v>
      </c>
      <c r="AV138" s="71">
        <f t="shared" si="53"/>
        <v>0</v>
      </c>
      <c r="AW138" s="70">
        <f t="shared" si="54"/>
        <v>0</v>
      </c>
      <c r="AX138" s="70">
        <f t="shared" si="65"/>
        <v>0</v>
      </c>
      <c r="AY138" s="72">
        <f t="shared" si="55"/>
      </c>
      <c r="AZ138" s="70">
        <f>_xlfn.IFERROR(IF(Simulador!$U$29=1,0,IF($AT138&lt;=0.01,0,$AT138*Simulador!$AA$42)),0)+_xlfn.IFERROR(IF(Simulador!$U$29=1,0,IF($AT138&lt;=0.01,0,IF(Simulador!$D$22&gt;0,Simulador!$D$22,Simulador!$O$24)*Simulador!$AA$43)),0)</f>
        <v>0</v>
      </c>
      <c r="BA138" s="73"/>
      <c r="BB138" s="70">
        <f t="shared" si="56"/>
        <v>0</v>
      </c>
      <c r="BC138">
        <f t="shared" si="66"/>
        <v>0</v>
      </c>
      <c r="BD138" s="431">
        <f t="shared" si="67"/>
      </c>
      <c r="BE138" s="432">
        <f t="shared" si="68"/>
        <v>0</v>
      </c>
      <c r="BF138" s="69">
        <v>124</v>
      </c>
      <c r="BG138" s="38"/>
      <c r="BJ138" s="69"/>
      <c r="BM138" s="432"/>
    </row>
    <row r="139" spans="1:65" ht="12">
      <c r="A139" s="531">
        <v>125</v>
      </c>
      <c r="B139" s="106">
        <f t="shared" si="69"/>
        <v>0</v>
      </c>
      <c r="C139" s="106"/>
      <c r="D139" s="107">
        <f>IF(B139+F139-D138&lt;=0,B139+F139,IF(AND(OR(Simulador!$U$38=2,Simulador!$U$38=7),J138=0),D138*(1+AA139),IF($AE$3=2,B139*AQ139,D138*(1+AA139))))</f>
        <v>0</v>
      </c>
      <c r="E139" s="107"/>
      <c r="F139" s="107">
        <f t="shared" si="50"/>
        <v>0</v>
      </c>
      <c r="G139" s="107"/>
      <c r="H139" s="107">
        <f t="shared" si="70"/>
        <v>0</v>
      </c>
      <c r="I139" s="108"/>
      <c r="J139" s="109"/>
      <c r="K139" s="108"/>
      <c r="L139" s="107">
        <f>IF(Simulador!$T$40=1,0,J139*Simulador!$W$38*1.16)</f>
        <v>0</v>
      </c>
      <c r="M139" s="107"/>
      <c r="N139" s="111"/>
      <c r="O139" s="13"/>
      <c r="P139" s="664">
        <f t="shared" si="51"/>
      </c>
      <c r="Q139" s="3"/>
      <c r="R139" s="107">
        <f t="shared" si="57"/>
        <v>0</v>
      </c>
      <c r="S139" s="107"/>
      <c r="T139" s="107">
        <f>_xlfn.IFERROR(IF(Simulador!$U$29=1,0,IF($B139&lt;=0,0,$B139*Simulador!$AA$42)),0)</f>
        <v>0</v>
      </c>
      <c r="U139" s="107"/>
      <c r="V139" s="107">
        <f>_xlfn.IFERROR(IF(Simulador!$U$29=1,0,IF($B139&lt;=0,0,IF(Simulador!$D$22&gt;0,Simulador!$D$22,Simulador!$O$24)*Simulador!$AA$43)),0)</f>
        <v>0</v>
      </c>
      <c r="W139" s="107"/>
      <c r="X139" s="107"/>
      <c r="Y139" s="107">
        <f t="shared" si="52"/>
        <v>0</v>
      </c>
      <c r="Z139" s="14"/>
      <c r="AA139" s="19"/>
      <c r="AB139" s="24"/>
      <c r="AC139" s="303">
        <v>10</v>
      </c>
      <c r="AD139" s="295">
        <v>5</v>
      </c>
      <c r="AE139" s="400">
        <f t="shared" si="58"/>
        <v>0</v>
      </c>
      <c r="AF139" s="279">
        <f t="shared" si="59"/>
        <v>0</v>
      </c>
      <c r="AG139" s="279">
        <f t="shared" si="60"/>
        <v>0</v>
      </c>
      <c r="AH139" s="418">
        <f t="shared" si="61"/>
        <v>0</v>
      </c>
      <c r="AI139" s="296">
        <f>IF(Simulador!$T$67=1,'Tabla de amortizacion'!AJ139,'Tabla de amortizacion'!AR139)</f>
        <v>0.09</v>
      </c>
      <c r="AJ139" s="297">
        <f t="shared" si="76"/>
        <v>0.09</v>
      </c>
      <c r="AK139" s="298">
        <f t="shared" si="62"/>
        <v>0</v>
      </c>
      <c r="AL139" s="298"/>
      <c r="AM139" s="304"/>
      <c r="AN139" s="520">
        <f t="shared" si="77"/>
        <v>0.092</v>
      </c>
      <c r="AO139" s="520">
        <f t="shared" si="77"/>
        <v>0.092</v>
      </c>
      <c r="AP139" s="299">
        <v>0</v>
      </c>
      <c r="AQ139" s="414">
        <f t="shared" si="63"/>
        <v>0</v>
      </c>
      <c r="AR139" s="300">
        <f>IF(AND(Simulador!$T$67=2,Simulador!$T$61=1),AL139,IF(AND(Simulador!$T$67=2,Simulador!$T$61=2),AM139,IF(AND(Simulador!$T$67=2,Simulador!$T$61=3),AN139,AO139)))</f>
        <v>0.092</v>
      </c>
      <c r="AS139" s="281"/>
      <c r="AT139" s="70">
        <f t="shared" si="72"/>
        <v>0</v>
      </c>
      <c r="AU139" s="70">
        <f t="shared" si="64"/>
        <v>0</v>
      </c>
      <c r="AV139" s="71">
        <f t="shared" si="53"/>
        <v>0</v>
      </c>
      <c r="AW139" s="70">
        <f t="shared" si="54"/>
        <v>0</v>
      </c>
      <c r="AX139" s="70">
        <f t="shared" si="65"/>
        <v>0</v>
      </c>
      <c r="AY139" s="72">
        <f t="shared" si="55"/>
      </c>
      <c r="AZ139" s="70">
        <f>_xlfn.IFERROR(IF(Simulador!$U$29=1,0,IF($AT139&lt;=0.01,0,$AT139*Simulador!$AA$42)),0)+_xlfn.IFERROR(IF(Simulador!$U$29=1,0,IF($AT139&lt;=0.01,0,IF(Simulador!$D$22&gt;0,Simulador!$D$22,Simulador!$O$24)*Simulador!$AA$43)),0)</f>
        <v>0</v>
      </c>
      <c r="BA139" s="73"/>
      <c r="BB139" s="70">
        <f t="shared" si="56"/>
        <v>0</v>
      </c>
      <c r="BC139">
        <f t="shared" si="66"/>
        <v>0</v>
      </c>
      <c r="BD139" s="431">
        <f t="shared" si="67"/>
      </c>
      <c r="BE139" s="432">
        <f t="shared" si="68"/>
        <v>0</v>
      </c>
      <c r="BF139" s="69">
        <v>125</v>
      </c>
      <c r="BG139" s="38"/>
      <c r="BJ139" s="69"/>
      <c r="BM139" s="432"/>
    </row>
    <row r="140" spans="1:65" ht="12">
      <c r="A140" s="531">
        <v>126</v>
      </c>
      <c r="B140" s="106">
        <f t="shared" si="69"/>
        <v>0</v>
      </c>
      <c r="C140" s="106"/>
      <c r="D140" s="107">
        <f>IF(B140+F140-D139&lt;=0,B140+F140,IF(AND(OR(Simulador!$U$38=2,Simulador!$U$38=7),J139=0),D139*(1+AA140),IF($AE$3=2,B140*AQ140,D139*(1+AA140))))</f>
        <v>0</v>
      </c>
      <c r="E140" s="107"/>
      <c r="F140" s="107">
        <f t="shared" si="50"/>
        <v>0</v>
      </c>
      <c r="G140" s="107"/>
      <c r="H140" s="107">
        <f t="shared" si="70"/>
        <v>0</v>
      </c>
      <c r="I140" s="108"/>
      <c r="J140" s="109"/>
      <c r="K140" s="108"/>
      <c r="L140" s="107">
        <f>IF(Simulador!$T$40=1,0,J140*Simulador!$W$38*1.16)</f>
        <v>0</v>
      </c>
      <c r="M140" s="107"/>
      <c r="N140" s="110">
        <f>IF(B140-H140=0,0,N138)</f>
        <v>0</v>
      </c>
      <c r="O140" s="13"/>
      <c r="P140" s="664">
        <f t="shared" si="51"/>
      </c>
      <c r="Q140" s="3"/>
      <c r="R140" s="107">
        <f t="shared" si="57"/>
        <v>0</v>
      </c>
      <c r="S140" s="107"/>
      <c r="T140" s="107">
        <f>_xlfn.IFERROR(IF(Simulador!$U$29=1,0,IF($B140&lt;=0,0,$B140*Simulador!$AA$42)),0)</f>
        <v>0</v>
      </c>
      <c r="U140" s="107"/>
      <c r="V140" s="107">
        <f>_xlfn.IFERROR(IF(Simulador!$U$29=1,0,IF($B140&lt;=0,0,IF(Simulador!$D$22&gt;0,Simulador!$D$22,Simulador!$O$24)*Simulador!$AA$43)),0)</f>
        <v>0</v>
      </c>
      <c r="W140" s="107"/>
      <c r="X140" s="107"/>
      <c r="Y140" s="107">
        <f t="shared" si="52"/>
        <v>0</v>
      </c>
      <c r="Z140" s="14"/>
      <c r="AA140" s="19"/>
      <c r="AB140" s="24"/>
      <c r="AC140" s="303">
        <v>10</v>
      </c>
      <c r="AD140" s="295">
        <v>6</v>
      </c>
      <c r="AE140" s="400">
        <f t="shared" si="58"/>
        <v>0</v>
      </c>
      <c r="AF140" s="279">
        <f t="shared" si="59"/>
        <v>0</v>
      </c>
      <c r="AG140" s="279">
        <f t="shared" si="60"/>
        <v>0</v>
      </c>
      <c r="AH140" s="418">
        <f t="shared" si="61"/>
        <v>0</v>
      </c>
      <c r="AI140" s="296">
        <f>IF(Simulador!$T$67=1,'Tabla de amortizacion'!AJ140,'Tabla de amortizacion'!AR140)</f>
        <v>0.09</v>
      </c>
      <c r="AJ140" s="297">
        <f t="shared" si="76"/>
        <v>0.09</v>
      </c>
      <c r="AK140" s="298">
        <f t="shared" si="62"/>
        <v>0</v>
      </c>
      <c r="AL140" s="298"/>
      <c r="AM140" s="304"/>
      <c r="AN140" s="520">
        <f t="shared" si="77"/>
        <v>0.092</v>
      </c>
      <c r="AO140" s="520">
        <f t="shared" si="77"/>
        <v>0.092</v>
      </c>
      <c r="AP140" s="299">
        <v>0</v>
      </c>
      <c r="AQ140" s="414">
        <f t="shared" si="63"/>
        <v>0</v>
      </c>
      <c r="AR140" s="300">
        <f>IF(AND(Simulador!$T$67=2,Simulador!$T$61=1),AL140,IF(AND(Simulador!$T$67=2,Simulador!$T$61=2),AM140,IF(AND(Simulador!$T$67=2,Simulador!$T$61=3),AN140,AO140)))</f>
        <v>0.092</v>
      </c>
      <c r="AS140" s="281"/>
      <c r="AT140" s="70">
        <f t="shared" si="72"/>
        <v>0</v>
      </c>
      <c r="AU140" s="70">
        <f t="shared" si="64"/>
        <v>0</v>
      </c>
      <c r="AV140" s="71">
        <f t="shared" si="53"/>
        <v>0</v>
      </c>
      <c r="AW140" s="70">
        <f t="shared" si="54"/>
        <v>0</v>
      </c>
      <c r="AX140" s="70">
        <f t="shared" si="65"/>
        <v>0</v>
      </c>
      <c r="AY140" s="72">
        <f t="shared" si="55"/>
      </c>
      <c r="AZ140" s="70">
        <f>_xlfn.IFERROR(IF(Simulador!$U$29=1,0,IF($AT140&lt;=0.01,0,$AT140*Simulador!$AA$42)),0)+_xlfn.IFERROR(IF(Simulador!$U$29=1,0,IF($AT140&lt;=0.01,0,IF(Simulador!$D$22&gt;0,Simulador!$D$22,Simulador!$O$24)*Simulador!$AA$43)),0)</f>
        <v>0</v>
      </c>
      <c r="BA140" s="73"/>
      <c r="BB140" s="70">
        <f t="shared" si="56"/>
        <v>0</v>
      </c>
      <c r="BC140">
        <f t="shared" si="66"/>
        <v>0</v>
      </c>
      <c r="BD140" s="431">
        <f t="shared" si="67"/>
      </c>
      <c r="BE140" s="432">
        <f t="shared" si="68"/>
        <v>0</v>
      </c>
      <c r="BF140" s="69">
        <v>126</v>
      </c>
      <c r="BG140" s="38"/>
      <c r="BJ140" s="69"/>
      <c r="BM140" s="432"/>
    </row>
    <row r="141" spans="1:65" ht="12">
      <c r="A141" s="531">
        <v>127</v>
      </c>
      <c r="B141" s="106">
        <f t="shared" si="69"/>
        <v>0</v>
      </c>
      <c r="C141" s="106"/>
      <c r="D141" s="107">
        <f>IF(B141+F141-D140&lt;=0,B141+F141,IF(AND(OR(Simulador!$U$38=2,Simulador!$U$38=7),J140=0),D140*(1+AA141),IF($AE$3=2,B141*AQ141,D140*(1+AA141))))</f>
        <v>0</v>
      </c>
      <c r="E141" s="107"/>
      <c r="F141" s="107">
        <f t="shared" si="50"/>
        <v>0</v>
      </c>
      <c r="G141" s="107"/>
      <c r="H141" s="107">
        <f t="shared" si="70"/>
        <v>0</v>
      </c>
      <c r="I141" s="108"/>
      <c r="J141" s="109"/>
      <c r="K141" s="108"/>
      <c r="L141" s="107">
        <f>IF(Simulador!$T$40=1,0,J141*Simulador!$W$38*1.16)</f>
        <v>0</v>
      </c>
      <c r="M141" s="107"/>
      <c r="N141" s="111"/>
      <c r="O141" s="13"/>
      <c r="P141" s="664">
        <f t="shared" si="51"/>
      </c>
      <c r="Q141" s="3"/>
      <c r="R141" s="107">
        <f t="shared" si="57"/>
        <v>0</v>
      </c>
      <c r="S141" s="107"/>
      <c r="T141" s="107">
        <f>_xlfn.IFERROR(IF(Simulador!$U$29=1,0,IF($B141&lt;=0,0,$B141*Simulador!$AA$42)),0)</f>
        <v>0</v>
      </c>
      <c r="U141" s="107"/>
      <c r="V141" s="107">
        <f>_xlfn.IFERROR(IF(Simulador!$U$29=1,0,IF($B141&lt;=0,0,IF(Simulador!$D$22&gt;0,Simulador!$D$22,Simulador!$O$24)*Simulador!$AA$43)),0)</f>
        <v>0</v>
      </c>
      <c r="W141" s="107"/>
      <c r="X141" s="107"/>
      <c r="Y141" s="107">
        <f t="shared" si="52"/>
        <v>0</v>
      </c>
      <c r="Z141" s="14"/>
      <c r="AA141" s="19"/>
      <c r="AB141" s="24"/>
      <c r="AC141" s="303">
        <v>10</v>
      </c>
      <c r="AD141" s="295">
        <v>7</v>
      </c>
      <c r="AE141" s="400">
        <f t="shared" si="58"/>
        <v>0</v>
      </c>
      <c r="AF141" s="279">
        <f t="shared" si="59"/>
        <v>0</v>
      </c>
      <c r="AG141" s="279">
        <f t="shared" si="60"/>
        <v>0</v>
      </c>
      <c r="AH141" s="418">
        <f t="shared" si="61"/>
        <v>0</v>
      </c>
      <c r="AI141" s="296">
        <f>IF(Simulador!$T$67=1,'Tabla de amortizacion'!AJ141,'Tabla de amortizacion'!AR141)</f>
        <v>0.09</v>
      </c>
      <c r="AJ141" s="297">
        <f t="shared" si="76"/>
        <v>0.09</v>
      </c>
      <c r="AK141" s="298">
        <f t="shared" si="62"/>
        <v>0</v>
      </c>
      <c r="AL141" s="298"/>
      <c r="AM141" s="304"/>
      <c r="AN141" s="520">
        <f t="shared" si="77"/>
        <v>0.092</v>
      </c>
      <c r="AO141" s="520">
        <f t="shared" si="77"/>
        <v>0.092</v>
      </c>
      <c r="AP141" s="299">
        <v>0</v>
      </c>
      <c r="AQ141" s="414">
        <f t="shared" si="63"/>
        <v>0</v>
      </c>
      <c r="AR141" s="300">
        <f>IF(AND(Simulador!$T$67=2,Simulador!$T$61=1),AL141,IF(AND(Simulador!$T$67=2,Simulador!$T$61=2),AM141,IF(AND(Simulador!$T$67=2,Simulador!$T$61=3),AN141,AO141)))</f>
        <v>0.092</v>
      </c>
      <c r="AS141" s="281"/>
      <c r="AT141" s="70">
        <f t="shared" si="72"/>
        <v>0</v>
      </c>
      <c r="AU141" s="70">
        <f t="shared" si="64"/>
        <v>0</v>
      </c>
      <c r="AV141" s="71">
        <f t="shared" si="53"/>
        <v>0</v>
      </c>
      <c r="AW141" s="70">
        <f t="shared" si="54"/>
        <v>0</v>
      </c>
      <c r="AX141" s="70">
        <f t="shared" si="65"/>
        <v>0</v>
      </c>
      <c r="AY141" s="72">
        <f t="shared" si="55"/>
      </c>
      <c r="AZ141" s="70">
        <f>_xlfn.IFERROR(IF(Simulador!$U$29=1,0,IF($AT141&lt;=0.01,0,$AT141*Simulador!$AA$42)),0)+_xlfn.IFERROR(IF(Simulador!$U$29=1,0,IF($AT141&lt;=0.01,0,IF(Simulador!$D$22&gt;0,Simulador!$D$22,Simulador!$O$24)*Simulador!$AA$43)),0)</f>
        <v>0</v>
      </c>
      <c r="BA141" s="73"/>
      <c r="BB141" s="70">
        <f t="shared" si="56"/>
        <v>0</v>
      </c>
      <c r="BC141">
        <f t="shared" si="66"/>
        <v>0</v>
      </c>
      <c r="BD141" s="431">
        <f t="shared" si="67"/>
      </c>
      <c r="BE141" s="432">
        <f t="shared" si="68"/>
        <v>0</v>
      </c>
      <c r="BF141" s="69">
        <v>127</v>
      </c>
      <c r="BG141" s="38"/>
      <c r="BJ141" s="69"/>
      <c r="BM141" s="432"/>
    </row>
    <row r="142" spans="1:65" ht="12">
      <c r="A142" s="531">
        <v>128</v>
      </c>
      <c r="B142" s="106">
        <f t="shared" si="69"/>
        <v>0</v>
      </c>
      <c r="C142" s="106"/>
      <c r="D142" s="107">
        <f>IF(B142+F142-D141&lt;=0,B142+F142,IF(AND(OR(Simulador!$U$38=2,Simulador!$U$38=7),J141=0),D141*(1+AA142),IF($AE$3=2,B142*AQ142,D141*(1+AA142))))</f>
        <v>0</v>
      </c>
      <c r="E142" s="107"/>
      <c r="F142" s="107">
        <f t="shared" si="50"/>
        <v>0</v>
      </c>
      <c r="G142" s="107"/>
      <c r="H142" s="107">
        <f t="shared" si="70"/>
        <v>0</v>
      </c>
      <c r="I142" s="108"/>
      <c r="J142" s="109"/>
      <c r="K142" s="108"/>
      <c r="L142" s="107">
        <f>IF(Simulador!$T$40=1,0,J142*Simulador!$W$38*1.16)</f>
        <v>0</v>
      </c>
      <c r="M142" s="107"/>
      <c r="N142" s="110">
        <f>IF(B142-H142=0,0,N140)</f>
        <v>0</v>
      </c>
      <c r="O142" s="13"/>
      <c r="P142" s="664">
        <f t="shared" si="51"/>
      </c>
      <c r="Q142" s="3"/>
      <c r="R142" s="107">
        <f t="shared" si="57"/>
        <v>0</v>
      </c>
      <c r="S142" s="107"/>
      <c r="T142" s="107">
        <f>_xlfn.IFERROR(IF(Simulador!$U$29=1,0,IF($B142&lt;=0,0,$B142*Simulador!$AA$42)),0)</f>
        <v>0</v>
      </c>
      <c r="U142" s="107"/>
      <c r="V142" s="107">
        <f>_xlfn.IFERROR(IF(Simulador!$U$29=1,0,IF($B142&lt;=0,0,IF(Simulador!$D$22&gt;0,Simulador!$D$22,Simulador!$O$24)*Simulador!$AA$43)),0)</f>
        <v>0</v>
      </c>
      <c r="W142" s="107"/>
      <c r="X142" s="107"/>
      <c r="Y142" s="107">
        <f t="shared" si="52"/>
        <v>0</v>
      </c>
      <c r="Z142" s="14"/>
      <c r="AA142" s="19"/>
      <c r="AB142" s="24"/>
      <c r="AC142" s="303">
        <v>10</v>
      </c>
      <c r="AD142" s="295">
        <v>8</v>
      </c>
      <c r="AE142" s="400">
        <f t="shared" si="58"/>
        <v>0</v>
      </c>
      <c r="AF142" s="279">
        <f t="shared" si="59"/>
        <v>0</v>
      </c>
      <c r="AG142" s="279">
        <f t="shared" si="60"/>
        <v>0</v>
      </c>
      <c r="AH142" s="418">
        <f t="shared" si="61"/>
        <v>0</v>
      </c>
      <c r="AI142" s="296">
        <f>IF(Simulador!$T$67=1,'Tabla de amortizacion'!AJ142,'Tabla de amortizacion'!AR142)</f>
        <v>0.09</v>
      </c>
      <c r="AJ142" s="297">
        <f t="shared" si="76"/>
        <v>0.09</v>
      </c>
      <c r="AK142" s="298">
        <f t="shared" si="62"/>
        <v>0</v>
      </c>
      <c r="AL142" s="298"/>
      <c r="AM142" s="304"/>
      <c r="AN142" s="520">
        <f t="shared" si="77"/>
        <v>0.092</v>
      </c>
      <c r="AO142" s="520">
        <f t="shared" si="77"/>
        <v>0.092</v>
      </c>
      <c r="AP142" s="299">
        <v>0</v>
      </c>
      <c r="AQ142" s="414">
        <f t="shared" si="63"/>
        <v>0</v>
      </c>
      <c r="AR142" s="300">
        <f>IF(AND(Simulador!$T$67=2,Simulador!$T$61=1),AL142,IF(AND(Simulador!$T$67=2,Simulador!$T$61=2),AM142,IF(AND(Simulador!$T$67=2,Simulador!$T$61=3),AN142,AO142)))</f>
        <v>0.092</v>
      </c>
      <c r="AS142" s="281"/>
      <c r="AT142" s="70">
        <f t="shared" si="72"/>
        <v>0</v>
      </c>
      <c r="AU142" s="70">
        <f t="shared" si="64"/>
        <v>0</v>
      </c>
      <c r="AV142" s="71">
        <f t="shared" si="53"/>
        <v>0</v>
      </c>
      <c r="AW142" s="70">
        <f t="shared" si="54"/>
        <v>0</v>
      </c>
      <c r="AX142" s="70">
        <f t="shared" si="65"/>
        <v>0</v>
      </c>
      <c r="AY142" s="72">
        <f t="shared" si="55"/>
      </c>
      <c r="AZ142" s="70">
        <f>_xlfn.IFERROR(IF(Simulador!$U$29=1,0,IF($AT142&lt;=0.01,0,$AT142*Simulador!$AA$42)),0)+_xlfn.IFERROR(IF(Simulador!$U$29=1,0,IF($AT142&lt;=0.01,0,IF(Simulador!$D$22&gt;0,Simulador!$D$22,Simulador!$O$24)*Simulador!$AA$43)),0)</f>
        <v>0</v>
      </c>
      <c r="BA142" s="73"/>
      <c r="BB142" s="70">
        <f t="shared" si="56"/>
        <v>0</v>
      </c>
      <c r="BC142">
        <f t="shared" si="66"/>
        <v>0</v>
      </c>
      <c r="BD142" s="431">
        <f t="shared" si="67"/>
      </c>
      <c r="BE142" s="432">
        <f t="shared" si="68"/>
        <v>0</v>
      </c>
      <c r="BF142" s="69">
        <v>128</v>
      </c>
      <c r="BG142" s="38"/>
      <c r="BJ142" s="69"/>
      <c r="BM142" s="432"/>
    </row>
    <row r="143" spans="1:65" ht="12">
      <c r="A143" s="531">
        <v>129</v>
      </c>
      <c r="B143" s="106">
        <f t="shared" si="69"/>
        <v>0</v>
      </c>
      <c r="C143" s="106"/>
      <c r="D143" s="107">
        <f>IF(B143+F143-D142&lt;=0,B143+F143,IF(AND(OR(Simulador!$U$38=2,Simulador!$U$38=7),J142=0),D142*(1+AA143),IF($AE$3=2,B143*AQ143,D142*(1+AA143))))</f>
        <v>0</v>
      </c>
      <c r="E143" s="107"/>
      <c r="F143" s="107">
        <f aca="true" t="shared" si="78" ref="F143:F206">_xlfn.IFERROR(IF(B143=0,0,P143/360*BE143*B143),0)</f>
        <v>0</v>
      </c>
      <c r="G143" s="107"/>
      <c r="H143" s="107">
        <f t="shared" si="70"/>
        <v>0</v>
      </c>
      <c r="I143" s="108"/>
      <c r="J143" s="109"/>
      <c r="K143" s="108"/>
      <c r="L143" s="107">
        <f>IF(Simulador!$T$40=1,0,J143*Simulador!$W$38*1.16)</f>
        <v>0</v>
      </c>
      <c r="M143" s="107"/>
      <c r="N143" s="111"/>
      <c r="O143" s="13"/>
      <c r="P143" s="664">
        <f aca="true" t="shared" si="79" ref="P143:P206">IF(B143=0,"",AI143)</f>
      </c>
      <c r="Q143" s="3"/>
      <c r="R143" s="107">
        <f t="shared" si="57"/>
        <v>0</v>
      </c>
      <c r="S143" s="107"/>
      <c r="T143" s="107">
        <f>_xlfn.IFERROR(IF(Simulador!$U$29=1,0,IF($B143&lt;=0,0,$B143*Simulador!$AA$42)),0)</f>
        <v>0</v>
      </c>
      <c r="U143" s="107"/>
      <c r="V143" s="107">
        <f>_xlfn.IFERROR(IF(Simulador!$U$29=1,0,IF($B143&lt;=0,0,IF(Simulador!$D$22&gt;0,Simulador!$D$22,Simulador!$O$24)*Simulador!$AA$43)),0)</f>
        <v>0</v>
      </c>
      <c r="W143" s="107"/>
      <c r="X143" s="107"/>
      <c r="Y143" s="107">
        <f aca="true" t="shared" si="80" ref="Y143:Y206">IF(B143&lt;=0,0,D143+J143+T143+V143)</f>
        <v>0</v>
      </c>
      <c r="Z143" s="14"/>
      <c r="AA143" s="19"/>
      <c r="AB143" s="24"/>
      <c r="AC143" s="303">
        <v>10</v>
      </c>
      <c r="AD143" s="302">
        <v>9</v>
      </c>
      <c r="AE143" s="400">
        <f t="shared" si="58"/>
        <v>0</v>
      </c>
      <c r="AF143" s="279">
        <f t="shared" si="59"/>
        <v>0</v>
      </c>
      <c r="AG143" s="279">
        <f t="shared" si="60"/>
        <v>0</v>
      </c>
      <c r="AH143" s="418">
        <f t="shared" si="61"/>
        <v>0</v>
      </c>
      <c r="AI143" s="296">
        <f>IF(Simulador!$T$67=1,'Tabla de amortizacion'!AJ143,'Tabla de amortizacion'!AR143)</f>
        <v>0.09</v>
      </c>
      <c r="AJ143" s="297">
        <f t="shared" si="76"/>
        <v>0.09</v>
      </c>
      <c r="AK143" s="298">
        <f t="shared" si="62"/>
        <v>0</v>
      </c>
      <c r="AL143" s="298"/>
      <c r="AM143" s="304"/>
      <c r="AN143" s="520">
        <f t="shared" si="77"/>
        <v>0.092</v>
      </c>
      <c r="AO143" s="520">
        <f t="shared" si="77"/>
        <v>0.092</v>
      </c>
      <c r="AP143" s="299">
        <v>0</v>
      </c>
      <c r="AQ143" s="414">
        <f t="shared" si="63"/>
        <v>0</v>
      </c>
      <c r="AR143" s="300">
        <f>IF(AND(Simulador!$T$67=2,Simulador!$T$61=1),AL143,IF(AND(Simulador!$T$67=2,Simulador!$T$61=2),AM143,IF(AND(Simulador!$T$67=2,Simulador!$T$61=3),AN143,AO143)))</f>
        <v>0.092</v>
      </c>
      <c r="AS143" s="281"/>
      <c r="AT143" s="70">
        <f t="shared" si="72"/>
        <v>0</v>
      </c>
      <c r="AU143" s="70">
        <f t="shared" si="64"/>
        <v>0</v>
      </c>
      <c r="AV143" s="71">
        <f aca="true" t="shared" si="81" ref="AV143:AV206">_xlfn.IFERROR((AY143/360*BE143*AT143),0)</f>
        <v>0</v>
      </c>
      <c r="AW143" s="70">
        <f aca="true" t="shared" si="82" ref="AW143:AW206">+AU143-AV143</f>
        <v>0</v>
      </c>
      <c r="AX143" s="70">
        <f t="shared" si="65"/>
        <v>0</v>
      </c>
      <c r="AY143" s="72">
        <f aca="true" t="shared" si="83" ref="AY143:AY206">IF(AT143=0,"",AI143)</f>
      </c>
      <c r="AZ143" s="70">
        <f>_xlfn.IFERROR(IF(Simulador!$U$29=1,0,IF($AT143&lt;=0.01,0,$AT143*Simulador!$AA$42)),0)+_xlfn.IFERROR(IF(Simulador!$U$29=1,0,IF($AT143&lt;=0.01,0,IF(Simulador!$D$22&gt;0,Simulador!$D$22,Simulador!$O$24)*Simulador!$AA$43)),0)</f>
        <v>0</v>
      </c>
      <c r="BA143" s="73"/>
      <c r="BB143" s="70">
        <f aca="true" t="shared" si="84" ref="BB143:BB206">AV143+AW143+AZ143</f>
        <v>0</v>
      </c>
      <c r="BC143">
        <f t="shared" si="66"/>
        <v>0</v>
      </c>
      <c r="BD143" s="431">
        <f t="shared" si="67"/>
      </c>
      <c r="BE143" s="432">
        <f t="shared" si="68"/>
        <v>0</v>
      </c>
      <c r="BF143" s="69">
        <v>129</v>
      </c>
      <c r="BG143" s="38"/>
      <c r="BJ143" s="69"/>
      <c r="BM143" s="432"/>
    </row>
    <row r="144" spans="1:65" ht="12">
      <c r="A144" s="531">
        <v>130</v>
      </c>
      <c r="B144" s="106">
        <f t="shared" si="69"/>
        <v>0</v>
      </c>
      <c r="C144" s="106"/>
      <c r="D144" s="107">
        <f>IF(B144+F144-D143&lt;=0,B144+F144,IF(AND(OR(Simulador!$U$38=2,Simulador!$U$38=7),J143=0),D143*(1+AA144),IF($AE$3=2,B144*AQ144,D143*(1+AA144))))</f>
        <v>0</v>
      </c>
      <c r="E144" s="107"/>
      <c r="F144" s="107">
        <f t="shared" si="78"/>
        <v>0</v>
      </c>
      <c r="G144" s="107"/>
      <c r="H144" s="107">
        <f t="shared" si="70"/>
        <v>0</v>
      </c>
      <c r="I144" s="108"/>
      <c r="J144" s="109"/>
      <c r="K144" s="108"/>
      <c r="L144" s="107">
        <f>IF(Simulador!$T$40=1,0,J144*Simulador!$W$38*1.16)</f>
        <v>0</v>
      </c>
      <c r="M144" s="107"/>
      <c r="N144" s="110">
        <f>IF(B144-H144=0,0,N142)</f>
        <v>0</v>
      </c>
      <c r="O144" s="13"/>
      <c r="P144" s="664">
        <f t="shared" si="79"/>
      </c>
      <c r="Q144" s="3"/>
      <c r="R144" s="107">
        <f aca="true" t="shared" si="85" ref="R144:R207">B144-H144-J144+L144-N144</f>
        <v>0</v>
      </c>
      <c r="S144" s="107"/>
      <c r="T144" s="107">
        <f>_xlfn.IFERROR(IF(Simulador!$U$29=1,0,IF($B144&lt;=0,0,$B144*Simulador!$AA$42)),0)</f>
        <v>0</v>
      </c>
      <c r="U144" s="107"/>
      <c r="V144" s="107">
        <f>_xlfn.IFERROR(IF(Simulador!$U$29=1,0,IF($B144&lt;=0,0,IF(Simulador!$D$22&gt;0,Simulador!$D$22,Simulador!$O$24)*Simulador!$AA$43)),0)</f>
        <v>0</v>
      </c>
      <c r="W144" s="107"/>
      <c r="X144" s="107"/>
      <c r="Y144" s="107">
        <f t="shared" si="80"/>
        <v>0</v>
      </c>
      <c r="Z144" s="14"/>
      <c r="AA144" s="19"/>
      <c r="AB144" s="24"/>
      <c r="AC144" s="303">
        <v>10</v>
      </c>
      <c r="AD144" s="302">
        <v>10</v>
      </c>
      <c r="AE144" s="400">
        <f aca="true" t="shared" si="86" ref="AE144:AE207">IF(R144&lt;=0,IF(R143&gt;0,A144,0),0)</f>
        <v>0</v>
      </c>
      <c r="AF144" s="279">
        <f aca="true" t="shared" si="87" ref="AF144:AF207">IF(AE144&gt;0,AC144,0)</f>
        <v>0</v>
      </c>
      <c r="AG144" s="279">
        <f aca="true" t="shared" si="88" ref="AG144:AG207">IF(AE144&gt;0,AD144,0)</f>
        <v>0</v>
      </c>
      <c r="AH144" s="418">
        <f aca="true" t="shared" si="89" ref="AH144:AH207">Y144</f>
        <v>0</v>
      </c>
      <c r="AI144" s="296">
        <f>IF(Simulador!$T$67=1,'Tabla de amortizacion'!AJ144,'Tabla de amortizacion'!AR144)</f>
        <v>0.09</v>
      </c>
      <c r="AJ144" s="297">
        <f t="shared" si="76"/>
        <v>0.09</v>
      </c>
      <c r="AK144" s="298">
        <f aca="true" t="shared" si="90" ref="AK144:AK207">AK143*(1+AA144)</f>
        <v>0</v>
      </c>
      <c r="AL144" s="298"/>
      <c r="AM144" s="304"/>
      <c r="AN144" s="520">
        <f t="shared" si="77"/>
        <v>0.092</v>
      </c>
      <c r="AO144" s="520">
        <f t="shared" si="77"/>
        <v>0.092</v>
      </c>
      <c r="AP144" s="299">
        <v>0</v>
      </c>
      <c r="AQ144" s="414">
        <f aca="true" t="shared" si="91" ref="AQ144:AQ207">_xlfn.IFERROR((AU144/AT144),0)</f>
        <v>0</v>
      </c>
      <c r="AR144" s="300">
        <f>IF(AND(Simulador!$T$67=2,Simulador!$T$61=1),AL144,IF(AND(Simulador!$T$67=2,Simulador!$T$61=2),AM144,IF(AND(Simulador!$T$67=2,Simulador!$T$61=3),AN144,AO144)))</f>
        <v>0.092</v>
      </c>
      <c r="AS144" s="281"/>
      <c r="AT144" s="70">
        <f t="shared" si="72"/>
        <v>0</v>
      </c>
      <c r="AU144" s="70">
        <f aca="true" t="shared" si="92" ref="AU144:AU207">_xlfn.IFERROR((IF(AT144+AV144-AU143&lt;0,AT144+AV144,AU143*(1+BA144))),0)</f>
        <v>0</v>
      </c>
      <c r="AV144" s="71">
        <f t="shared" si="81"/>
        <v>0</v>
      </c>
      <c r="AW144" s="70">
        <f t="shared" si="82"/>
        <v>0</v>
      </c>
      <c r="AX144" s="70">
        <f aca="true" t="shared" si="93" ref="AX144:AX207">+AT144-AW144</f>
        <v>0</v>
      </c>
      <c r="AY144" s="72">
        <f t="shared" si="83"/>
      </c>
      <c r="AZ144" s="70">
        <f>_xlfn.IFERROR(IF(Simulador!$U$29=1,0,IF($AT144&lt;=0.01,0,$AT144*Simulador!$AA$42)),0)+_xlfn.IFERROR(IF(Simulador!$U$29=1,0,IF($AT144&lt;=0.01,0,IF(Simulador!$D$22&gt;0,Simulador!$D$22,Simulador!$O$24)*Simulador!$AA$43)),0)</f>
        <v>0</v>
      </c>
      <c r="BA144" s="73"/>
      <c r="BB144" s="70">
        <f t="shared" si="84"/>
        <v>0</v>
      </c>
      <c r="BC144">
        <f aca="true" t="shared" si="94" ref="BC144:BC207">_xlfn.IFERROR(IF(AU144&lt;=0.01,0,BC143-1),0)</f>
        <v>0</v>
      </c>
      <c r="BD144" s="431">
        <f aca="true" t="shared" si="95" ref="BD144:BD207">IF(AT144=0,"",DATE(YEAR(BD143),MONTH(BD143)+1,1))</f>
      </c>
      <c r="BE144" s="432">
        <f aca="true" t="shared" si="96" ref="BE144:BE207">_xlfn.IFERROR(DAY(DATE(YEAR(BD144),MONTH(BD144)+1,0)),0)</f>
        <v>0</v>
      </c>
      <c r="BF144" s="69">
        <v>130</v>
      </c>
      <c r="BG144" s="38"/>
      <c r="BJ144" s="69"/>
      <c r="BM144" s="432"/>
    </row>
    <row r="145" spans="1:65" ht="12">
      <c r="A145" s="531">
        <v>131</v>
      </c>
      <c r="B145" s="106">
        <f aca="true" t="shared" si="97" ref="B145:B208">IF(R144&lt;=0,0,R144)</f>
        <v>0</v>
      </c>
      <c r="C145" s="106"/>
      <c r="D145" s="107">
        <f>IF(B145+F145-D144&lt;=0,B145+F145,IF(AND(OR(Simulador!$U$38=2,Simulador!$U$38=7),J144=0),D144*(1+AA145),IF($AE$3=2,B145*AQ145,D144*(1+AA145))))</f>
        <v>0</v>
      </c>
      <c r="E145" s="107"/>
      <c r="F145" s="107">
        <f t="shared" si="78"/>
        <v>0</v>
      </c>
      <c r="G145" s="107"/>
      <c r="H145" s="107">
        <f aca="true" t="shared" si="98" ref="H145:H208">D145-F145</f>
        <v>0</v>
      </c>
      <c r="I145" s="108"/>
      <c r="J145" s="109"/>
      <c r="K145" s="108"/>
      <c r="L145" s="107">
        <f>IF(Simulador!$T$40=1,0,J145*Simulador!$W$38*1.16)</f>
        <v>0</v>
      </c>
      <c r="M145" s="107"/>
      <c r="N145" s="111"/>
      <c r="O145" s="13"/>
      <c r="P145" s="664">
        <f t="shared" si="79"/>
      </c>
      <c r="Q145" s="3"/>
      <c r="R145" s="107">
        <f t="shared" si="85"/>
        <v>0</v>
      </c>
      <c r="S145" s="107"/>
      <c r="T145" s="107">
        <f>_xlfn.IFERROR(IF(Simulador!$U$29=1,0,IF($B145&lt;=0,0,$B145*Simulador!$AA$42)),0)</f>
        <v>0</v>
      </c>
      <c r="U145" s="107"/>
      <c r="V145" s="107">
        <f>_xlfn.IFERROR(IF(Simulador!$U$29=1,0,IF($B145&lt;=0,0,IF(Simulador!$D$22&gt;0,Simulador!$D$22,Simulador!$O$24)*Simulador!$AA$43)),0)</f>
        <v>0</v>
      </c>
      <c r="W145" s="107"/>
      <c r="X145" s="107"/>
      <c r="Y145" s="107">
        <f t="shared" si="80"/>
        <v>0</v>
      </c>
      <c r="Z145" s="14"/>
      <c r="AA145" s="19"/>
      <c r="AB145" s="24"/>
      <c r="AC145" s="303">
        <v>10</v>
      </c>
      <c r="AD145" s="295">
        <v>11</v>
      </c>
      <c r="AE145" s="400">
        <f t="shared" si="86"/>
        <v>0</v>
      </c>
      <c r="AF145" s="279">
        <f t="shared" si="87"/>
        <v>0</v>
      </c>
      <c r="AG145" s="279">
        <f t="shared" si="88"/>
        <v>0</v>
      </c>
      <c r="AH145" s="418">
        <f t="shared" si="89"/>
        <v>0</v>
      </c>
      <c r="AI145" s="296">
        <f>IF(Simulador!$T$67=1,'Tabla de amortizacion'!AJ145,'Tabla de amortizacion'!AR145)</f>
        <v>0.09</v>
      </c>
      <c r="AJ145" s="297">
        <f t="shared" si="76"/>
        <v>0.09</v>
      </c>
      <c r="AK145" s="298">
        <f t="shared" si="90"/>
        <v>0</v>
      </c>
      <c r="AL145" s="298"/>
      <c r="AM145" s="304"/>
      <c r="AN145" s="520">
        <f t="shared" si="77"/>
        <v>0.092</v>
      </c>
      <c r="AO145" s="520">
        <f t="shared" si="77"/>
        <v>0.092</v>
      </c>
      <c r="AP145" s="299">
        <v>0</v>
      </c>
      <c r="AQ145" s="414">
        <f t="shared" si="91"/>
        <v>0</v>
      </c>
      <c r="AR145" s="300">
        <f>IF(AND(Simulador!$T$67=2,Simulador!$T$61=1),AL145,IF(AND(Simulador!$T$67=2,Simulador!$T$61=2),AM145,IF(AND(Simulador!$T$67=2,Simulador!$T$61=3),AN145,AO145)))</f>
        <v>0.092</v>
      </c>
      <c r="AS145" s="281"/>
      <c r="AT145" s="70">
        <f t="shared" si="72"/>
        <v>0</v>
      </c>
      <c r="AU145" s="70">
        <f t="shared" si="92"/>
        <v>0</v>
      </c>
      <c r="AV145" s="71">
        <f t="shared" si="81"/>
        <v>0</v>
      </c>
      <c r="AW145" s="70">
        <f t="shared" si="82"/>
        <v>0</v>
      </c>
      <c r="AX145" s="70">
        <f t="shared" si="93"/>
        <v>0</v>
      </c>
      <c r="AY145" s="72">
        <f t="shared" si="83"/>
      </c>
      <c r="AZ145" s="70">
        <f>_xlfn.IFERROR(IF(Simulador!$U$29=1,0,IF($AT145&lt;=0.01,0,$AT145*Simulador!$AA$42)),0)+_xlfn.IFERROR(IF(Simulador!$U$29=1,0,IF($AT145&lt;=0.01,0,IF(Simulador!$D$22&gt;0,Simulador!$D$22,Simulador!$O$24)*Simulador!$AA$43)),0)</f>
        <v>0</v>
      </c>
      <c r="BA145" s="73"/>
      <c r="BB145" s="70">
        <f t="shared" si="84"/>
        <v>0</v>
      </c>
      <c r="BC145">
        <f t="shared" si="94"/>
        <v>0</v>
      </c>
      <c r="BD145" s="431">
        <f t="shared" si="95"/>
      </c>
      <c r="BE145" s="432">
        <f t="shared" si="96"/>
        <v>0</v>
      </c>
      <c r="BF145" s="69">
        <v>131</v>
      </c>
      <c r="BG145" s="38"/>
      <c r="BJ145" s="69"/>
      <c r="BM145" s="432"/>
    </row>
    <row r="146" spans="1:65" ht="12">
      <c r="A146" s="531">
        <v>132</v>
      </c>
      <c r="B146" s="106">
        <f t="shared" si="97"/>
        <v>0</v>
      </c>
      <c r="C146" s="106"/>
      <c r="D146" s="107">
        <f>IF(B146+F146-D145&lt;=0,B146+F146,IF(AND(OR(Simulador!$U$38=2,Simulador!$U$38=7),J145=0),D145*(1+AA146),IF($AE$3=2,B146*AQ146,D145*(1+AA146))))</f>
        <v>0</v>
      </c>
      <c r="E146" s="107"/>
      <c r="F146" s="107">
        <f t="shared" si="78"/>
        <v>0</v>
      </c>
      <c r="G146" s="107"/>
      <c r="H146" s="107">
        <f t="shared" si="98"/>
        <v>0</v>
      </c>
      <c r="I146" s="108"/>
      <c r="J146" s="109"/>
      <c r="K146" s="108"/>
      <c r="L146" s="107">
        <f>IF(Simulador!$T$40=1,0,J146*Simulador!$W$38*1.16)</f>
        <v>0</v>
      </c>
      <c r="M146" s="107"/>
      <c r="N146" s="110">
        <f>IF(B146-H146=0,0,N144)</f>
        <v>0</v>
      </c>
      <c r="O146" s="13"/>
      <c r="P146" s="664">
        <f t="shared" si="79"/>
      </c>
      <c r="Q146" s="3"/>
      <c r="R146" s="107">
        <f t="shared" si="85"/>
        <v>0</v>
      </c>
      <c r="S146" s="107"/>
      <c r="T146" s="107">
        <f>_xlfn.IFERROR(IF(Simulador!$U$29=1,0,IF($B146&lt;=0,0,$B146*Simulador!$AA$42)),0)</f>
        <v>0</v>
      </c>
      <c r="U146" s="107"/>
      <c r="V146" s="107">
        <f>_xlfn.IFERROR(IF(Simulador!$U$29=1,0,IF($B146&lt;=0,0,IF(Simulador!$D$22&gt;0,Simulador!$D$22,Simulador!$O$24)*Simulador!$AA$43)),0)</f>
        <v>0</v>
      </c>
      <c r="W146" s="107"/>
      <c r="X146" s="107"/>
      <c r="Y146" s="107">
        <f t="shared" si="80"/>
        <v>0</v>
      </c>
      <c r="Z146" s="14"/>
      <c r="AA146" s="19"/>
      <c r="AB146" s="24"/>
      <c r="AC146" s="303">
        <v>11</v>
      </c>
      <c r="AD146" s="295">
        <v>0</v>
      </c>
      <c r="AE146" s="400">
        <f t="shared" si="86"/>
        <v>0</v>
      </c>
      <c r="AF146" s="279">
        <f t="shared" si="87"/>
        <v>0</v>
      </c>
      <c r="AG146" s="279">
        <f t="shared" si="88"/>
        <v>0</v>
      </c>
      <c r="AH146" s="418">
        <f t="shared" si="89"/>
        <v>0</v>
      </c>
      <c r="AI146" s="296">
        <f>IF(Simulador!$T$67=1,'Tabla de amortizacion'!AJ146,'Tabla de amortizacion'!AR146)</f>
        <v>0.09</v>
      </c>
      <c r="AJ146" s="297">
        <f t="shared" si="76"/>
        <v>0.09</v>
      </c>
      <c r="AK146" s="298">
        <f t="shared" si="90"/>
        <v>0</v>
      </c>
      <c r="AL146" s="298"/>
      <c r="AM146" s="304"/>
      <c r="AN146" s="520">
        <f t="shared" si="77"/>
        <v>0.092</v>
      </c>
      <c r="AO146" s="520">
        <f t="shared" si="77"/>
        <v>0.092</v>
      </c>
      <c r="AP146" s="299">
        <v>0</v>
      </c>
      <c r="AQ146" s="414">
        <f t="shared" si="91"/>
        <v>0</v>
      </c>
      <c r="AR146" s="300">
        <f>IF(AND(Simulador!$T$67=2,Simulador!$T$61=1),AL146,IF(AND(Simulador!$T$67=2,Simulador!$T$61=2),AM146,IF(AND(Simulador!$T$67=2,Simulador!$T$61=3),AN146,AO146)))</f>
        <v>0.092</v>
      </c>
      <c r="AS146" s="281"/>
      <c r="AT146" s="70">
        <f t="shared" si="72"/>
        <v>0</v>
      </c>
      <c r="AU146" s="70">
        <f t="shared" si="92"/>
        <v>0</v>
      </c>
      <c r="AV146" s="71">
        <f t="shared" si="81"/>
        <v>0</v>
      </c>
      <c r="AW146" s="70">
        <f t="shared" si="82"/>
        <v>0</v>
      </c>
      <c r="AX146" s="70">
        <f t="shared" si="93"/>
        <v>0</v>
      </c>
      <c r="AY146" s="72">
        <f t="shared" si="83"/>
      </c>
      <c r="AZ146" s="70">
        <f>_xlfn.IFERROR(IF(Simulador!$U$29=1,0,IF($AT146&lt;=0.01,0,$AT146*Simulador!$AA$42)),0)+_xlfn.IFERROR(IF(Simulador!$U$29=1,0,IF($AT146&lt;=0.01,0,IF(Simulador!$D$22&gt;0,Simulador!$D$22,Simulador!$O$24)*Simulador!$AA$43)),0)</f>
        <v>0</v>
      </c>
      <c r="BA146" s="73"/>
      <c r="BB146" s="70">
        <f t="shared" si="84"/>
        <v>0</v>
      </c>
      <c r="BC146">
        <f t="shared" si="94"/>
        <v>0</v>
      </c>
      <c r="BD146" s="431">
        <f t="shared" si="95"/>
      </c>
      <c r="BE146" s="432">
        <f t="shared" si="96"/>
        <v>0</v>
      </c>
      <c r="BF146" s="69">
        <v>132</v>
      </c>
      <c r="BG146" s="38"/>
      <c r="BJ146" s="69"/>
      <c r="BM146" s="432"/>
    </row>
    <row r="147" spans="1:65" ht="12">
      <c r="A147" s="531">
        <v>133</v>
      </c>
      <c r="B147" s="106">
        <f t="shared" si="97"/>
        <v>0</v>
      </c>
      <c r="C147" s="106"/>
      <c r="D147" s="107">
        <f>IF(B147+F147-D146&lt;=0,B147+F147,IF(AND(OR(Simulador!$U$38=2,Simulador!$U$38=7),J146=0),D146*(1+AA147),IF($AE$3=2,B147*AQ147,D146*(1+AA147))))</f>
        <v>0</v>
      </c>
      <c r="E147" s="107"/>
      <c r="F147" s="107">
        <f t="shared" si="78"/>
        <v>0</v>
      </c>
      <c r="G147" s="107"/>
      <c r="H147" s="107">
        <f t="shared" si="98"/>
        <v>0</v>
      </c>
      <c r="I147" s="108"/>
      <c r="J147" s="109"/>
      <c r="K147" s="108"/>
      <c r="L147" s="107">
        <f>IF(Simulador!$T$40=1,0,J147*Simulador!$W$38*1.16)</f>
        <v>0</v>
      </c>
      <c r="M147" s="107"/>
      <c r="N147" s="111"/>
      <c r="O147" s="13"/>
      <c r="P147" s="664">
        <f t="shared" si="79"/>
      </c>
      <c r="Q147" s="3"/>
      <c r="R147" s="107">
        <f t="shared" si="85"/>
        <v>0</v>
      </c>
      <c r="S147" s="107"/>
      <c r="T147" s="107">
        <f>_xlfn.IFERROR(IF(Simulador!$U$29=1,0,IF($B147&lt;=0,0,$B147*Simulador!$AA$42)),0)</f>
        <v>0</v>
      </c>
      <c r="U147" s="107"/>
      <c r="V147" s="107">
        <f>_xlfn.IFERROR(IF(Simulador!$U$29=1,0,IF($B147&lt;=0,0,IF(Simulador!$D$22&gt;0,Simulador!$D$22,Simulador!$O$24)*Simulador!$AA$43)),0)</f>
        <v>0</v>
      </c>
      <c r="W147" s="107"/>
      <c r="X147" s="107"/>
      <c r="Y147" s="107">
        <f t="shared" si="80"/>
        <v>0</v>
      </c>
      <c r="Z147" s="14"/>
      <c r="AA147" s="19">
        <f>IF(B147&lt;=0,0,Simulador!$I$42)</f>
        <v>0</v>
      </c>
      <c r="AB147" s="24"/>
      <c r="AC147" s="303">
        <v>11</v>
      </c>
      <c r="AD147" s="295">
        <v>1</v>
      </c>
      <c r="AE147" s="400">
        <f t="shared" si="86"/>
        <v>0</v>
      </c>
      <c r="AF147" s="279">
        <f t="shared" si="87"/>
        <v>0</v>
      </c>
      <c r="AG147" s="279">
        <f t="shared" si="88"/>
        <v>0</v>
      </c>
      <c r="AH147" s="418">
        <f t="shared" si="89"/>
        <v>0</v>
      </c>
      <c r="AI147" s="296">
        <f>IF(Simulador!$T$67=1,'Tabla de amortizacion'!AJ147,'Tabla de amortizacion'!AR147)</f>
        <v>0.09</v>
      </c>
      <c r="AJ147" s="297">
        <f>IF(AJ146=$AM$4,AJ146,IF(AJ146-0.25%&lt;=$AM$4,$AM$4,AJ146-0.25%))</f>
        <v>0.09</v>
      </c>
      <c r="AK147" s="298">
        <f t="shared" si="90"/>
        <v>0</v>
      </c>
      <c r="AL147" s="298"/>
      <c r="AM147" s="304"/>
      <c r="AN147" s="520">
        <f t="shared" si="77"/>
        <v>0.092</v>
      </c>
      <c r="AO147" s="520">
        <f t="shared" si="77"/>
        <v>0.092</v>
      </c>
      <c r="AP147" s="299">
        <v>0</v>
      </c>
      <c r="AQ147" s="414">
        <f t="shared" si="91"/>
        <v>0</v>
      </c>
      <c r="AR147" s="300">
        <f>IF(AND(Simulador!$T$67=2,Simulador!$T$61=1),AL147,IF(AND(Simulador!$T$67=2,Simulador!$T$61=2),AM147,IF(AND(Simulador!$T$67=2,Simulador!$T$61=3),AN147,AO147)))</f>
        <v>0.092</v>
      </c>
      <c r="AS147" s="281"/>
      <c r="AT147" s="70">
        <f t="shared" si="72"/>
        <v>0</v>
      </c>
      <c r="AU147" s="70">
        <f t="shared" si="92"/>
        <v>0</v>
      </c>
      <c r="AV147" s="71">
        <f t="shared" si="81"/>
        <v>0</v>
      </c>
      <c r="AW147" s="70">
        <f t="shared" si="82"/>
        <v>0</v>
      </c>
      <c r="AX147" s="70">
        <f t="shared" si="93"/>
        <v>0</v>
      </c>
      <c r="AY147" s="72">
        <f t="shared" si="83"/>
      </c>
      <c r="AZ147" s="70">
        <f>_xlfn.IFERROR(IF(Simulador!$U$29=1,0,IF($AT147&lt;=0.01,0,$AT147*Simulador!$AA$42)),0)+_xlfn.IFERROR(IF(Simulador!$U$29=1,0,IF($AT147&lt;=0.01,0,IF(Simulador!$D$22&gt;0,Simulador!$D$22,Simulador!$O$24)*Simulador!$AA$43)),0)</f>
        <v>0</v>
      </c>
      <c r="BA147" s="73">
        <f>IF(AT147&lt;=0,0,$BA$27)</f>
        <v>0</v>
      </c>
      <c r="BB147" s="70">
        <f t="shared" si="84"/>
        <v>0</v>
      </c>
      <c r="BC147">
        <f t="shared" si="94"/>
        <v>0</v>
      </c>
      <c r="BD147" s="431">
        <f t="shared" si="95"/>
      </c>
      <c r="BE147" s="432">
        <f t="shared" si="96"/>
        <v>0</v>
      </c>
      <c r="BF147" s="69">
        <v>133</v>
      </c>
      <c r="BG147" s="38"/>
      <c r="BJ147" s="69"/>
      <c r="BM147" s="432"/>
    </row>
    <row r="148" spans="1:65" ht="12">
      <c r="A148" s="531">
        <v>134</v>
      </c>
      <c r="B148" s="106">
        <f t="shared" si="97"/>
        <v>0</v>
      </c>
      <c r="C148" s="106"/>
      <c r="D148" s="107">
        <f>IF(B148+F148-D147&lt;=0,B148+F148,IF(AND(OR(Simulador!$U$38=2,Simulador!$U$38=7),J147=0),D147*(1+AA148),IF($AE$3=2,B148*AQ148,D147*(1+AA148))))</f>
        <v>0</v>
      </c>
      <c r="E148" s="107"/>
      <c r="F148" s="107">
        <f t="shared" si="78"/>
        <v>0</v>
      </c>
      <c r="G148" s="107"/>
      <c r="H148" s="107">
        <f t="shared" si="98"/>
        <v>0</v>
      </c>
      <c r="I148" s="108"/>
      <c r="J148" s="109"/>
      <c r="K148" s="108"/>
      <c r="L148" s="107">
        <f>IF(Simulador!$T$40=1,0,J148*Simulador!$W$38*1.16)</f>
        <v>0</v>
      </c>
      <c r="M148" s="107"/>
      <c r="N148" s="110">
        <f>IF(B148-H148=0,0,N146*(1+(Simulador!$AF$76)))</f>
        <v>0</v>
      </c>
      <c r="O148" s="13"/>
      <c r="P148" s="664">
        <f t="shared" si="79"/>
      </c>
      <c r="Q148" s="3"/>
      <c r="R148" s="107">
        <f t="shared" si="85"/>
        <v>0</v>
      </c>
      <c r="S148" s="107"/>
      <c r="T148" s="107">
        <f>_xlfn.IFERROR(IF(Simulador!$U$29=1,0,IF($B148&lt;=0,0,$B148*Simulador!$AA$42)),0)</f>
        <v>0</v>
      </c>
      <c r="U148" s="107"/>
      <c r="V148" s="107">
        <f>_xlfn.IFERROR(IF(Simulador!$U$29=1,0,IF($B148&lt;=0,0,IF(Simulador!$D$22&gt;0,Simulador!$D$22,Simulador!$O$24)*Simulador!$AA$43)),0)</f>
        <v>0</v>
      </c>
      <c r="W148" s="107"/>
      <c r="X148" s="107"/>
      <c r="Y148" s="107">
        <f t="shared" si="80"/>
        <v>0</v>
      </c>
      <c r="Z148" s="14"/>
      <c r="AA148" s="19"/>
      <c r="AB148" s="24"/>
      <c r="AC148" s="303">
        <v>11</v>
      </c>
      <c r="AD148" s="301">
        <v>2</v>
      </c>
      <c r="AE148" s="400">
        <f t="shared" si="86"/>
        <v>0</v>
      </c>
      <c r="AF148" s="279">
        <f t="shared" si="87"/>
        <v>0</v>
      </c>
      <c r="AG148" s="279">
        <f t="shared" si="88"/>
        <v>0</v>
      </c>
      <c r="AH148" s="418">
        <f t="shared" si="89"/>
        <v>0</v>
      </c>
      <c r="AI148" s="296">
        <f>IF(Simulador!$T$67=1,'Tabla de amortizacion'!AJ148,'Tabla de amortizacion'!AR148)</f>
        <v>0.09</v>
      </c>
      <c r="AJ148" s="297">
        <f>AJ147</f>
        <v>0.09</v>
      </c>
      <c r="AK148" s="298">
        <f t="shared" si="90"/>
        <v>0</v>
      </c>
      <c r="AL148" s="298"/>
      <c r="AM148" s="304"/>
      <c r="AN148" s="520">
        <f t="shared" si="77"/>
        <v>0.092</v>
      </c>
      <c r="AO148" s="520">
        <f t="shared" si="77"/>
        <v>0.092</v>
      </c>
      <c r="AP148" s="299">
        <v>0</v>
      </c>
      <c r="AQ148" s="414">
        <f t="shared" si="91"/>
        <v>0</v>
      </c>
      <c r="AR148" s="300">
        <f>IF(AND(Simulador!$T$67=2,Simulador!$T$61=1),AL148,IF(AND(Simulador!$T$67=2,Simulador!$T$61=2),AM148,IF(AND(Simulador!$T$67=2,Simulador!$T$61=3),AN148,AO148)))</f>
        <v>0.092</v>
      </c>
      <c r="AS148" s="281"/>
      <c r="AT148" s="70">
        <f t="shared" si="72"/>
        <v>0</v>
      </c>
      <c r="AU148" s="70">
        <f t="shared" si="92"/>
        <v>0</v>
      </c>
      <c r="AV148" s="71">
        <f t="shared" si="81"/>
        <v>0</v>
      </c>
      <c r="AW148" s="70">
        <f t="shared" si="82"/>
        <v>0</v>
      </c>
      <c r="AX148" s="70">
        <f t="shared" si="93"/>
        <v>0</v>
      </c>
      <c r="AY148" s="72">
        <f t="shared" si="83"/>
      </c>
      <c r="AZ148" s="70">
        <f>_xlfn.IFERROR(IF(Simulador!$U$29=1,0,IF($AT148&lt;=0.01,0,$AT148*Simulador!$AA$42)),0)+_xlfn.IFERROR(IF(Simulador!$U$29=1,0,IF($AT148&lt;=0.01,0,IF(Simulador!$D$22&gt;0,Simulador!$D$22,Simulador!$O$24)*Simulador!$AA$43)),0)</f>
        <v>0</v>
      </c>
      <c r="BA148" s="73"/>
      <c r="BB148" s="70">
        <f t="shared" si="84"/>
        <v>0</v>
      </c>
      <c r="BC148">
        <f t="shared" si="94"/>
        <v>0</v>
      </c>
      <c r="BD148" s="431">
        <f t="shared" si="95"/>
      </c>
      <c r="BE148" s="432">
        <f t="shared" si="96"/>
        <v>0</v>
      </c>
      <c r="BF148" s="69">
        <v>134</v>
      </c>
      <c r="BG148" s="38"/>
      <c r="BJ148" s="69"/>
      <c r="BM148" s="432"/>
    </row>
    <row r="149" spans="1:65" ht="12">
      <c r="A149" s="531">
        <v>135</v>
      </c>
      <c r="B149" s="106">
        <f t="shared" si="97"/>
        <v>0</v>
      </c>
      <c r="C149" s="106"/>
      <c r="D149" s="107">
        <f>IF(B149+F149-D148&lt;=0,B149+F149,IF(AND(OR(Simulador!$U$38=2,Simulador!$U$38=7),J148=0),D148*(1+AA149),IF($AE$3=2,B149*AQ149,D148*(1+AA149))))</f>
        <v>0</v>
      </c>
      <c r="E149" s="107"/>
      <c r="F149" s="107">
        <f t="shared" si="78"/>
        <v>0</v>
      </c>
      <c r="G149" s="107"/>
      <c r="H149" s="107">
        <f t="shared" si="98"/>
        <v>0</v>
      </c>
      <c r="I149" s="108"/>
      <c r="J149" s="109"/>
      <c r="K149" s="108"/>
      <c r="L149" s="107">
        <f>IF(Simulador!$T$40=1,0,J149*Simulador!$W$38*1.16)</f>
        <v>0</v>
      </c>
      <c r="M149" s="107"/>
      <c r="N149" s="111"/>
      <c r="O149" s="13"/>
      <c r="P149" s="664">
        <f t="shared" si="79"/>
      </c>
      <c r="Q149" s="3"/>
      <c r="R149" s="107">
        <f t="shared" si="85"/>
        <v>0</v>
      </c>
      <c r="S149" s="107"/>
      <c r="T149" s="107">
        <f>_xlfn.IFERROR(IF(Simulador!$U$29=1,0,IF($B149&lt;=0,0,$B149*Simulador!$AA$42)),0)</f>
        <v>0</v>
      </c>
      <c r="U149" s="107"/>
      <c r="V149" s="107">
        <f>_xlfn.IFERROR(IF(Simulador!$U$29=1,0,IF($B149&lt;=0,0,IF(Simulador!$D$22&gt;0,Simulador!$D$22,Simulador!$O$24)*Simulador!$AA$43)),0)</f>
        <v>0</v>
      </c>
      <c r="W149" s="107"/>
      <c r="X149" s="107"/>
      <c r="Y149" s="107">
        <f t="shared" si="80"/>
        <v>0</v>
      </c>
      <c r="Z149" s="14"/>
      <c r="AA149" s="19"/>
      <c r="AB149" s="24"/>
      <c r="AC149" s="303">
        <v>11</v>
      </c>
      <c r="AD149" s="301">
        <v>3</v>
      </c>
      <c r="AE149" s="400">
        <f t="shared" si="86"/>
        <v>0</v>
      </c>
      <c r="AF149" s="279">
        <f t="shared" si="87"/>
        <v>0</v>
      </c>
      <c r="AG149" s="279">
        <f t="shared" si="88"/>
        <v>0</v>
      </c>
      <c r="AH149" s="418">
        <f t="shared" si="89"/>
        <v>0</v>
      </c>
      <c r="AI149" s="296">
        <f>IF(Simulador!$T$67=1,'Tabla de amortizacion'!AJ149,'Tabla de amortizacion'!AR149)</f>
        <v>0.09</v>
      </c>
      <c r="AJ149" s="297">
        <f aca="true" t="shared" si="99" ref="AJ149:AJ158">AJ148</f>
        <v>0.09</v>
      </c>
      <c r="AK149" s="298">
        <f t="shared" si="90"/>
        <v>0</v>
      </c>
      <c r="AL149" s="298"/>
      <c r="AM149" s="304"/>
      <c r="AN149" s="520">
        <f t="shared" si="77"/>
        <v>0.092</v>
      </c>
      <c r="AO149" s="520">
        <f t="shared" si="77"/>
        <v>0.092</v>
      </c>
      <c r="AP149" s="299">
        <v>0</v>
      </c>
      <c r="AQ149" s="414">
        <f t="shared" si="91"/>
        <v>0</v>
      </c>
      <c r="AR149" s="300">
        <f>IF(AND(Simulador!$T$67=2,Simulador!$T$61=1),AL149,IF(AND(Simulador!$T$67=2,Simulador!$T$61=2),AM149,IF(AND(Simulador!$T$67=2,Simulador!$T$61=3),AN149,AO149)))</f>
        <v>0.092</v>
      </c>
      <c r="AS149" s="281"/>
      <c r="AT149" s="70">
        <f t="shared" si="72"/>
        <v>0</v>
      </c>
      <c r="AU149" s="70">
        <f t="shared" si="92"/>
        <v>0</v>
      </c>
      <c r="AV149" s="71">
        <f t="shared" si="81"/>
        <v>0</v>
      </c>
      <c r="AW149" s="70">
        <f t="shared" si="82"/>
        <v>0</v>
      </c>
      <c r="AX149" s="70">
        <f t="shared" si="93"/>
        <v>0</v>
      </c>
      <c r="AY149" s="72">
        <f t="shared" si="83"/>
      </c>
      <c r="AZ149" s="70">
        <f>_xlfn.IFERROR(IF(Simulador!$U$29=1,0,IF($AT149&lt;=0.01,0,$AT149*Simulador!$AA$42)),0)+_xlfn.IFERROR(IF(Simulador!$U$29=1,0,IF($AT149&lt;=0.01,0,IF(Simulador!$D$22&gt;0,Simulador!$D$22,Simulador!$O$24)*Simulador!$AA$43)),0)</f>
        <v>0</v>
      </c>
      <c r="BA149" s="73"/>
      <c r="BB149" s="70">
        <f t="shared" si="84"/>
        <v>0</v>
      </c>
      <c r="BC149">
        <f t="shared" si="94"/>
        <v>0</v>
      </c>
      <c r="BD149" s="431">
        <f t="shared" si="95"/>
      </c>
      <c r="BE149" s="432">
        <f t="shared" si="96"/>
        <v>0</v>
      </c>
      <c r="BF149" s="69">
        <v>135</v>
      </c>
      <c r="BG149" s="38"/>
      <c r="BJ149" s="69"/>
      <c r="BM149" s="432"/>
    </row>
    <row r="150" spans="1:65" ht="12">
      <c r="A150" s="531">
        <v>136</v>
      </c>
      <c r="B150" s="106">
        <f t="shared" si="97"/>
        <v>0</v>
      </c>
      <c r="C150" s="106"/>
      <c r="D150" s="107">
        <f>IF(B150+F150-D149&lt;=0,B150+F150,IF(AND(OR(Simulador!$U$38=2,Simulador!$U$38=7),J149=0),D149*(1+AA150),IF($AE$3=2,B150*AQ150,D149*(1+AA150))))</f>
        <v>0</v>
      </c>
      <c r="E150" s="107"/>
      <c r="F150" s="107">
        <f t="shared" si="78"/>
        <v>0</v>
      </c>
      <c r="G150" s="107"/>
      <c r="H150" s="107">
        <f t="shared" si="98"/>
        <v>0</v>
      </c>
      <c r="I150" s="108"/>
      <c r="J150" s="109"/>
      <c r="K150" s="108"/>
      <c r="L150" s="107">
        <f>IF(Simulador!$T$40=1,0,J150*Simulador!$W$38*1.16)</f>
        <v>0</v>
      </c>
      <c r="M150" s="107"/>
      <c r="N150" s="110">
        <f>IF(B150-H150=0,0,N148)</f>
        <v>0</v>
      </c>
      <c r="O150" s="13"/>
      <c r="P150" s="664">
        <f t="shared" si="79"/>
      </c>
      <c r="Q150" s="3"/>
      <c r="R150" s="107">
        <f t="shared" si="85"/>
        <v>0</v>
      </c>
      <c r="S150" s="107"/>
      <c r="T150" s="107">
        <f>_xlfn.IFERROR(IF(Simulador!$U$29=1,0,IF($B150&lt;=0,0,$B150*Simulador!$AA$42)),0)</f>
        <v>0</v>
      </c>
      <c r="U150" s="107"/>
      <c r="V150" s="107">
        <f>_xlfn.IFERROR(IF(Simulador!$U$29=1,0,IF($B150&lt;=0,0,IF(Simulador!$D$22&gt;0,Simulador!$D$22,Simulador!$O$24)*Simulador!$AA$43)),0)</f>
        <v>0</v>
      </c>
      <c r="W150" s="107"/>
      <c r="X150" s="107"/>
      <c r="Y150" s="107">
        <f t="shared" si="80"/>
        <v>0</v>
      </c>
      <c r="Z150" s="14"/>
      <c r="AA150" s="19"/>
      <c r="AB150" s="24"/>
      <c r="AC150" s="303">
        <v>11</v>
      </c>
      <c r="AD150" s="295">
        <v>4</v>
      </c>
      <c r="AE150" s="400">
        <f t="shared" si="86"/>
        <v>0</v>
      </c>
      <c r="AF150" s="279">
        <f t="shared" si="87"/>
        <v>0</v>
      </c>
      <c r="AG150" s="279">
        <f t="shared" si="88"/>
        <v>0</v>
      </c>
      <c r="AH150" s="418">
        <f t="shared" si="89"/>
        <v>0</v>
      </c>
      <c r="AI150" s="296">
        <f>IF(Simulador!$T$67=1,'Tabla de amortizacion'!AJ150,'Tabla de amortizacion'!AR150)</f>
        <v>0.09</v>
      </c>
      <c r="AJ150" s="297">
        <f t="shared" si="99"/>
        <v>0.09</v>
      </c>
      <c r="AK150" s="298">
        <f t="shared" si="90"/>
        <v>0</v>
      </c>
      <c r="AL150" s="298"/>
      <c r="AM150" s="304"/>
      <c r="AN150" s="520">
        <f t="shared" si="77"/>
        <v>0.092</v>
      </c>
      <c r="AO150" s="520">
        <f t="shared" si="77"/>
        <v>0.092</v>
      </c>
      <c r="AP150" s="299">
        <v>0</v>
      </c>
      <c r="AQ150" s="414">
        <f t="shared" si="91"/>
        <v>0</v>
      </c>
      <c r="AR150" s="300">
        <f>IF(AND(Simulador!$T$67=2,Simulador!$T$61=1),AL150,IF(AND(Simulador!$T$67=2,Simulador!$T$61=2),AM150,IF(AND(Simulador!$T$67=2,Simulador!$T$61=3),AN150,AO150)))</f>
        <v>0.092</v>
      </c>
      <c r="AS150" s="281"/>
      <c r="AT150" s="70">
        <f t="shared" si="72"/>
        <v>0</v>
      </c>
      <c r="AU150" s="70">
        <f t="shared" si="92"/>
        <v>0</v>
      </c>
      <c r="AV150" s="71">
        <f t="shared" si="81"/>
        <v>0</v>
      </c>
      <c r="AW150" s="70">
        <f t="shared" si="82"/>
        <v>0</v>
      </c>
      <c r="AX150" s="70">
        <f t="shared" si="93"/>
        <v>0</v>
      </c>
      <c r="AY150" s="72">
        <f t="shared" si="83"/>
      </c>
      <c r="AZ150" s="70">
        <f>_xlfn.IFERROR(IF(Simulador!$U$29=1,0,IF($AT150&lt;=0.01,0,$AT150*Simulador!$AA$42)),0)+_xlfn.IFERROR(IF(Simulador!$U$29=1,0,IF($AT150&lt;=0.01,0,IF(Simulador!$D$22&gt;0,Simulador!$D$22,Simulador!$O$24)*Simulador!$AA$43)),0)</f>
        <v>0</v>
      </c>
      <c r="BA150" s="73"/>
      <c r="BB150" s="70">
        <f t="shared" si="84"/>
        <v>0</v>
      </c>
      <c r="BC150">
        <f t="shared" si="94"/>
        <v>0</v>
      </c>
      <c r="BD150" s="431">
        <f t="shared" si="95"/>
      </c>
      <c r="BE150" s="432">
        <f t="shared" si="96"/>
        <v>0</v>
      </c>
      <c r="BF150" s="69">
        <v>136</v>
      </c>
      <c r="BG150" s="38"/>
      <c r="BJ150" s="69"/>
      <c r="BM150" s="432"/>
    </row>
    <row r="151" spans="1:65" ht="12">
      <c r="A151" s="531">
        <v>137</v>
      </c>
      <c r="B151" s="106">
        <f t="shared" si="97"/>
        <v>0</v>
      </c>
      <c r="C151" s="106"/>
      <c r="D151" s="107">
        <f>IF(B151+F151-D150&lt;=0,B151+F151,IF(AND(OR(Simulador!$U$38=2,Simulador!$U$38=7),J150=0),D150*(1+AA151),IF($AE$3=2,B151*AQ151,D150*(1+AA151))))</f>
        <v>0</v>
      </c>
      <c r="E151" s="107"/>
      <c r="F151" s="107">
        <f t="shared" si="78"/>
        <v>0</v>
      </c>
      <c r="G151" s="107"/>
      <c r="H151" s="107">
        <f t="shared" si="98"/>
        <v>0</v>
      </c>
      <c r="I151" s="108"/>
      <c r="J151" s="109"/>
      <c r="K151" s="108"/>
      <c r="L151" s="107">
        <f>IF(Simulador!$T$40=1,0,J151*Simulador!$W$38*1.16)</f>
        <v>0</v>
      </c>
      <c r="M151" s="107"/>
      <c r="N151" s="111"/>
      <c r="O151" s="13"/>
      <c r="P151" s="664">
        <f t="shared" si="79"/>
      </c>
      <c r="Q151" s="3"/>
      <c r="R151" s="107">
        <f t="shared" si="85"/>
        <v>0</v>
      </c>
      <c r="S151" s="107"/>
      <c r="T151" s="107">
        <f>_xlfn.IFERROR(IF(Simulador!$U$29=1,0,IF($B151&lt;=0,0,$B151*Simulador!$AA$42)),0)</f>
        <v>0</v>
      </c>
      <c r="U151" s="107"/>
      <c r="V151" s="107">
        <f>_xlfn.IFERROR(IF(Simulador!$U$29=1,0,IF($B151&lt;=0,0,IF(Simulador!$D$22&gt;0,Simulador!$D$22,Simulador!$O$24)*Simulador!$AA$43)),0)</f>
        <v>0</v>
      </c>
      <c r="W151" s="107"/>
      <c r="X151" s="107"/>
      <c r="Y151" s="107">
        <f t="shared" si="80"/>
        <v>0</v>
      </c>
      <c r="Z151" s="14"/>
      <c r="AA151" s="19"/>
      <c r="AB151" s="24"/>
      <c r="AC151" s="303">
        <v>11</v>
      </c>
      <c r="AD151" s="295">
        <v>5</v>
      </c>
      <c r="AE151" s="400">
        <f t="shared" si="86"/>
        <v>0</v>
      </c>
      <c r="AF151" s="279">
        <f t="shared" si="87"/>
        <v>0</v>
      </c>
      <c r="AG151" s="279">
        <f t="shared" si="88"/>
        <v>0</v>
      </c>
      <c r="AH151" s="418">
        <f t="shared" si="89"/>
        <v>0</v>
      </c>
      <c r="AI151" s="296">
        <f>IF(Simulador!$T$67=1,'Tabla de amortizacion'!AJ151,'Tabla de amortizacion'!AR151)</f>
        <v>0.09</v>
      </c>
      <c r="AJ151" s="297">
        <f t="shared" si="99"/>
        <v>0.09</v>
      </c>
      <c r="AK151" s="298">
        <f t="shared" si="90"/>
        <v>0</v>
      </c>
      <c r="AL151" s="298"/>
      <c r="AM151" s="304"/>
      <c r="AN151" s="520">
        <f t="shared" si="77"/>
        <v>0.092</v>
      </c>
      <c r="AO151" s="520">
        <f t="shared" si="77"/>
        <v>0.092</v>
      </c>
      <c r="AP151" s="299">
        <v>0</v>
      </c>
      <c r="AQ151" s="414">
        <f t="shared" si="91"/>
        <v>0</v>
      </c>
      <c r="AR151" s="300">
        <f>IF(AND(Simulador!$T$67=2,Simulador!$T$61=1),AL151,IF(AND(Simulador!$T$67=2,Simulador!$T$61=2),AM151,IF(AND(Simulador!$T$67=2,Simulador!$T$61=3),AN151,AO151)))</f>
        <v>0.092</v>
      </c>
      <c r="AS151" s="281"/>
      <c r="AT151" s="70">
        <f t="shared" si="72"/>
        <v>0</v>
      </c>
      <c r="AU151" s="70">
        <f t="shared" si="92"/>
        <v>0</v>
      </c>
      <c r="AV151" s="71">
        <f t="shared" si="81"/>
        <v>0</v>
      </c>
      <c r="AW151" s="70">
        <f t="shared" si="82"/>
        <v>0</v>
      </c>
      <c r="AX151" s="70">
        <f t="shared" si="93"/>
        <v>0</v>
      </c>
      <c r="AY151" s="72">
        <f t="shared" si="83"/>
      </c>
      <c r="AZ151" s="70">
        <f>_xlfn.IFERROR(IF(Simulador!$U$29=1,0,IF($AT151&lt;=0.01,0,$AT151*Simulador!$AA$42)),0)+_xlfn.IFERROR(IF(Simulador!$U$29=1,0,IF($AT151&lt;=0.01,0,IF(Simulador!$D$22&gt;0,Simulador!$D$22,Simulador!$O$24)*Simulador!$AA$43)),0)</f>
        <v>0</v>
      </c>
      <c r="BA151" s="73"/>
      <c r="BB151" s="70">
        <f t="shared" si="84"/>
        <v>0</v>
      </c>
      <c r="BC151">
        <f t="shared" si="94"/>
        <v>0</v>
      </c>
      <c r="BD151" s="431">
        <f t="shared" si="95"/>
      </c>
      <c r="BE151" s="432">
        <f t="shared" si="96"/>
        <v>0</v>
      </c>
      <c r="BF151" s="69">
        <v>137</v>
      </c>
      <c r="BG151" s="38"/>
      <c r="BJ151" s="69"/>
      <c r="BM151" s="432"/>
    </row>
    <row r="152" spans="1:65" ht="12">
      <c r="A152" s="531">
        <v>138</v>
      </c>
      <c r="B152" s="106">
        <f t="shared" si="97"/>
        <v>0</v>
      </c>
      <c r="C152" s="106"/>
      <c r="D152" s="107">
        <f>IF(B152+F152-D151&lt;=0,B152+F152,IF(AND(OR(Simulador!$U$38=2,Simulador!$U$38=7),J151=0),D151*(1+AA152),IF($AE$3=2,B152*AQ152,D151*(1+AA152))))</f>
        <v>0</v>
      </c>
      <c r="E152" s="107"/>
      <c r="F152" s="107">
        <f t="shared" si="78"/>
        <v>0</v>
      </c>
      <c r="G152" s="107"/>
      <c r="H152" s="107">
        <f t="shared" si="98"/>
        <v>0</v>
      </c>
      <c r="I152" s="108"/>
      <c r="J152" s="109"/>
      <c r="K152" s="108"/>
      <c r="L152" s="107">
        <f>IF(Simulador!$T$40=1,0,J152*Simulador!$W$38*1.16)</f>
        <v>0</v>
      </c>
      <c r="M152" s="107"/>
      <c r="N152" s="110">
        <f>IF(B152-H152=0,0,N150)</f>
        <v>0</v>
      </c>
      <c r="O152" s="13"/>
      <c r="P152" s="664">
        <f t="shared" si="79"/>
      </c>
      <c r="Q152" s="3"/>
      <c r="R152" s="107">
        <f t="shared" si="85"/>
        <v>0</v>
      </c>
      <c r="S152" s="107"/>
      <c r="T152" s="107">
        <f>_xlfn.IFERROR(IF(Simulador!$U$29=1,0,IF($B152&lt;=0,0,$B152*Simulador!$AA$42)),0)</f>
        <v>0</v>
      </c>
      <c r="U152" s="107"/>
      <c r="V152" s="107">
        <f>_xlfn.IFERROR(IF(Simulador!$U$29=1,0,IF($B152&lt;=0,0,IF(Simulador!$D$22&gt;0,Simulador!$D$22,Simulador!$O$24)*Simulador!$AA$43)),0)</f>
        <v>0</v>
      </c>
      <c r="W152" s="107"/>
      <c r="X152" s="107"/>
      <c r="Y152" s="107">
        <f t="shared" si="80"/>
        <v>0</v>
      </c>
      <c r="Z152" s="14"/>
      <c r="AA152" s="19"/>
      <c r="AB152" s="24"/>
      <c r="AC152" s="303">
        <v>11</v>
      </c>
      <c r="AD152" s="295">
        <v>6</v>
      </c>
      <c r="AE152" s="400">
        <f t="shared" si="86"/>
        <v>0</v>
      </c>
      <c r="AF152" s="279">
        <f t="shared" si="87"/>
        <v>0</v>
      </c>
      <c r="AG152" s="279">
        <f t="shared" si="88"/>
        <v>0</v>
      </c>
      <c r="AH152" s="418">
        <f t="shared" si="89"/>
        <v>0</v>
      </c>
      <c r="AI152" s="296">
        <f>IF(Simulador!$T$67=1,'Tabla de amortizacion'!AJ152,'Tabla de amortizacion'!AR152)</f>
        <v>0.09</v>
      </c>
      <c r="AJ152" s="297">
        <f t="shared" si="99"/>
        <v>0.09</v>
      </c>
      <c r="AK152" s="298">
        <f t="shared" si="90"/>
        <v>0</v>
      </c>
      <c r="AL152" s="298"/>
      <c r="AM152" s="304"/>
      <c r="AN152" s="520">
        <f t="shared" si="77"/>
        <v>0.092</v>
      </c>
      <c r="AO152" s="520">
        <f t="shared" si="77"/>
        <v>0.092</v>
      </c>
      <c r="AP152" s="299">
        <v>0</v>
      </c>
      <c r="AQ152" s="414">
        <f t="shared" si="91"/>
        <v>0</v>
      </c>
      <c r="AR152" s="300">
        <f>IF(AND(Simulador!$T$67=2,Simulador!$T$61=1),AL152,IF(AND(Simulador!$T$67=2,Simulador!$T$61=2),AM152,IF(AND(Simulador!$T$67=2,Simulador!$T$61=3),AN152,AO152)))</f>
        <v>0.092</v>
      </c>
      <c r="AS152" s="281"/>
      <c r="AT152" s="70">
        <f t="shared" si="72"/>
        <v>0</v>
      </c>
      <c r="AU152" s="70">
        <f t="shared" si="92"/>
        <v>0</v>
      </c>
      <c r="AV152" s="71">
        <f t="shared" si="81"/>
        <v>0</v>
      </c>
      <c r="AW152" s="70">
        <f t="shared" si="82"/>
        <v>0</v>
      </c>
      <c r="AX152" s="70">
        <f t="shared" si="93"/>
        <v>0</v>
      </c>
      <c r="AY152" s="72">
        <f t="shared" si="83"/>
      </c>
      <c r="AZ152" s="70">
        <f>_xlfn.IFERROR(IF(Simulador!$U$29=1,0,IF($AT152&lt;=0.01,0,$AT152*Simulador!$AA$42)),0)+_xlfn.IFERROR(IF(Simulador!$U$29=1,0,IF($AT152&lt;=0.01,0,IF(Simulador!$D$22&gt;0,Simulador!$D$22,Simulador!$O$24)*Simulador!$AA$43)),0)</f>
        <v>0</v>
      </c>
      <c r="BA152" s="73"/>
      <c r="BB152" s="70">
        <f t="shared" si="84"/>
        <v>0</v>
      </c>
      <c r="BC152">
        <f t="shared" si="94"/>
        <v>0</v>
      </c>
      <c r="BD152" s="431">
        <f t="shared" si="95"/>
      </c>
      <c r="BE152" s="432">
        <f t="shared" si="96"/>
        <v>0</v>
      </c>
      <c r="BF152" s="69">
        <v>138</v>
      </c>
      <c r="BG152" s="38"/>
      <c r="BJ152" s="69"/>
      <c r="BM152" s="432"/>
    </row>
    <row r="153" spans="1:65" ht="12">
      <c r="A153" s="531">
        <v>139</v>
      </c>
      <c r="B153" s="106">
        <f t="shared" si="97"/>
        <v>0</v>
      </c>
      <c r="C153" s="106"/>
      <c r="D153" s="107">
        <f>IF(B153+F153-D152&lt;=0,B153+F153,IF(AND(OR(Simulador!$U$38=2,Simulador!$U$38=7),J152=0),D152*(1+AA153),IF($AE$3=2,B153*AQ153,D152*(1+AA153))))</f>
        <v>0</v>
      </c>
      <c r="E153" s="107"/>
      <c r="F153" s="107">
        <f t="shared" si="78"/>
        <v>0</v>
      </c>
      <c r="G153" s="107"/>
      <c r="H153" s="107">
        <f t="shared" si="98"/>
        <v>0</v>
      </c>
      <c r="I153" s="108"/>
      <c r="J153" s="109"/>
      <c r="K153" s="108"/>
      <c r="L153" s="107">
        <f>IF(Simulador!$T$40=1,0,J153*Simulador!$W$38*1.16)</f>
        <v>0</v>
      </c>
      <c r="M153" s="107"/>
      <c r="N153" s="111"/>
      <c r="O153" s="13"/>
      <c r="P153" s="664">
        <f t="shared" si="79"/>
      </c>
      <c r="Q153" s="3"/>
      <c r="R153" s="107">
        <f t="shared" si="85"/>
        <v>0</v>
      </c>
      <c r="S153" s="107"/>
      <c r="T153" s="107">
        <f>_xlfn.IFERROR(IF(Simulador!$U$29=1,0,IF($B153&lt;=0,0,$B153*Simulador!$AA$42)),0)</f>
        <v>0</v>
      </c>
      <c r="U153" s="107"/>
      <c r="V153" s="107">
        <f>_xlfn.IFERROR(IF(Simulador!$U$29=1,0,IF($B153&lt;=0,0,IF(Simulador!$D$22&gt;0,Simulador!$D$22,Simulador!$O$24)*Simulador!$AA$43)),0)</f>
        <v>0</v>
      </c>
      <c r="W153" s="107"/>
      <c r="X153" s="107"/>
      <c r="Y153" s="107">
        <f t="shared" si="80"/>
        <v>0</v>
      </c>
      <c r="Z153" s="14"/>
      <c r="AA153" s="19"/>
      <c r="AB153" s="24"/>
      <c r="AC153" s="303">
        <v>11</v>
      </c>
      <c r="AD153" s="295">
        <v>7</v>
      </c>
      <c r="AE153" s="400">
        <f t="shared" si="86"/>
        <v>0</v>
      </c>
      <c r="AF153" s="279">
        <f t="shared" si="87"/>
        <v>0</v>
      </c>
      <c r="AG153" s="279">
        <f t="shared" si="88"/>
        <v>0</v>
      </c>
      <c r="AH153" s="418">
        <f t="shared" si="89"/>
        <v>0</v>
      </c>
      <c r="AI153" s="296">
        <f>IF(Simulador!$T$67=1,'Tabla de amortizacion'!AJ153,'Tabla de amortizacion'!AR153)</f>
        <v>0.09</v>
      </c>
      <c r="AJ153" s="297">
        <f t="shared" si="99"/>
        <v>0.09</v>
      </c>
      <c r="AK153" s="298">
        <f t="shared" si="90"/>
        <v>0</v>
      </c>
      <c r="AL153" s="298"/>
      <c r="AM153" s="304"/>
      <c r="AN153" s="520">
        <f t="shared" si="77"/>
        <v>0.092</v>
      </c>
      <c r="AO153" s="520">
        <f t="shared" si="77"/>
        <v>0.092</v>
      </c>
      <c r="AP153" s="299">
        <v>0</v>
      </c>
      <c r="AQ153" s="414">
        <f t="shared" si="91"/>
        <v>0</v>
      </c>
      <c r="AR153" s="300">
        <f>IF(AND(Simulador!$T$67=2,Simulador!$T$61=1),AL153,IF(AND(Simulador!$T$67=2,Simulador!$T$61=2),AM153,IF(AND(Simulador!$T$67=2,Simulador!$T$61=3),AN153,AO153)))</f>
        <v>0.092</v>
      </c>
      <c r="AS153" s="281"/>
      <c r="AT153" s="70">
        <f t="shared" si="72"/>
        <v>0</v>
      </c>
      <c r="AU153" s="70">
        <f t="shared" si="92"/>
        <v>0</v>
      </c>
      <c r="AV153" s="71">
        <f t="shared" si="81"/>
        <v>0</v>
      </c>
      <c r="AW153" s="70">
        <f t="shared" si="82"/>
        <v>0</v>
      </c>
      <c r="AX153" s="70">
        <f t="shared" si="93"/>
        <v>0</v>
      </c>
      <c r="AY153" s="72">
        <f t="shared" si="83"/>
      </c>
      <c r="AZ153" s="70">
        <f>_xlfn.IFERROR(IF(Simulador!$U$29=1,0,IF($AT153&lt;=0.01,0,$AT153*Simulador!$AA$42)),0)+_xlfn.IFERROR(IF(Simulador!$U$29=1,0,IF($AT153&lt;=0.01,0,IF(Simulador!$D$22&gt;0,Simulador!$D$22,Simulador!$O$24)*Simulador!$AA$43)),0)</f>
        <v>0</v>
      </c>
      <c r="BA153" s="73"/>
      <c r="BB153" s="70">
        <f t="shared" si="84"/>
        <v>0</v>
      </c>
      <c r="BC153">
        <f t="shared" si="94"/>
        <v>0</v>
      </c>
      <c r="BD153" s="431">
        <f t="shared" si="95"/>
      </c>
      <c r="BE153" s="432">
        <f t="shared" si="96"/>
        <v>0</v>
      </c>
      <c r="BF153" s="69">
        <v>139</v>
      </c>
      <c r="BG153" s="38"/>
      <c r="BJ153" s="69"/>
      <c r="BM153" s="432"/>
    </row>
    <row r="154" spans="1:65" ht="12">
      <c r="A154" s="531">
        <v>140</v>
      </c>
      <c r="B154" s="106">
        <f t="shared" si="97"/>
        <v>0</v>
      </c>
      <c r="C154" s="106"/>
      <c r="D154" s="107">
        <f>IF(B154+F154-D153&lt;=0,B154+F154,IF(AND(OR(Simulador!$U$38=2,Simulador!$U$38=7),J153=0),D153*(1+AA154),IF($AE$3=2,B154*AQ154,D153*(1+AA154))))</f>
        <v>0</v>
      </c>
      <c r="E154" s="107"/>
      <c r="F154" s="107">
        <f t="shared" si="78"/>
        <v>0</v>
      </c>
      <c r="G154" s="107"/>
      <c r="H154" s="107">
        <f t="shared" si="98"/>
        <v>0</v>
      </c>
      <c r="I154" s="108"/>
      <c r="J154" s="109"/>
      <c r="K154" s="108"/>
      <c r="L154" s="107">
        <f>IF(Simulador!$T$40=1,0,J154*Simulador!$W$38*1.16)</f>
        <v>0</v>
      </c>
      <c r="M154" s="107"/>
      <c r="N154" s="110">
        <f>IF(B154-H154=0,0,N152)</f>
        <v>0</v>
      </c>
      <c r="O154" s="13"/>
      <c r="P154" s="664">
        <f t="shared" si="79"/>
      </c>
      <c r="Q154" s="3"/>
      <c r="R154" s="107">
        <f t="shared" si="85"/>
        <v>0</v>
      </c>
      <c r="S154" s="107"/>
      <c r="T154" s="107">
        <f>_xlfn.IFERROR(IF(Simulador!$U$29=1,0,IF($B154&lt;=0,0,$B154*Simulador!$AA$42)),0)</f>
        <v>0</v>
      </c>
      <c r="U154" s="107"/>
      <c r="V154" s="107">
        <f>_xlfn.IFERROR(IF(Simulador!$U$29=1,0,IF($B154&lt;=0,0,IF(Simulador!$D$22&gt;0,Simulador!$D$22,Simulador!$O$24)*Simulador!$AA$43)),0)</f>
        <v>0</v>
      </c>
      <c r="W154" s="107"/>
      <c r="X154" s="107"/>
      <c r="Y154" s="107">
        <f t="shared" si="80"/>
        <v>0</v>
      </c>
      <c r="Z154" s="14"/>
      <c r="AA154" s="19"/>
      <c r="AB154" s="24"/>
      <c r="AC154" s="303">
        <v>11</v>
      </c>
      <c r="AD154" s="295">
        <v>8</v>
      </c>
      <c r="AE154" s="400">
        <f t="shared" si="86"/>
        <v>0</v>
      </c>
      <c r="AF154" s="279">
        <f t="shared" si="87"/>
        <v>0</v>
      </c>
      <c r="AG154" s="279">
        <f t="shared" si="88"/>
        <v>0</v>
      </c>
      <c r="AH154" s="418">
        <f t="shared" si="89"/>
        <v>0</v>
      </c>
      <c r="AI154" s="296">
        <f>IF(Simulador!$T$67=1,'Tabla de amortizacion'!AJ154,'Tabla de amortizacion'!AR154)</f>
        <v>0.09</v>
      </c>
      <c r="AJ154" s="297">
        <f t="shared" si="99"/>
        <v>0.09</v>
      </c>
      <c r="AK154" s="298">
        <f t="shared" si="90"/>
        <v>0</v>
      </c>
      <c r="AL154" s="298"/>
      <c r="AM154" s="304"/>
      <c r="AN154" s="520">
        <f t="shared" si="77"/>
        <v>0.092</v>
      </c>
      <c r="AO154" s="520">
        <f t="shared" si="77"/>
        <v>0.092</v>
      </c>
      <c r="AP154" s="299">
        <v>0</v>
      </c>
      <c r="AQ154" s="414">
        <f t="shared" si="91"/>
        <v>0</v>
      </c>
      <c r="AR154" s="300">
        <f>IF(AND(Simulador!$T$67=2,Simulador!$T$61=1),AL154,IF(AND(Simulador!$T$67=2,Simulador!$T$61=2),AM154,IF(AND(Simulador!$T$67=2,Simulador!$T$61=3),AN154,AO154)))</f>
        <v>0.092</v>
      </c>
      <c r="AS154" s="281"/>
      <c r="AT154" s="70">
        <f t="shared" si="72"/>
        <v>0</v>
      </c>
      <c r="AU154" s="70">
        <f t="shared" si="92"/>
        <v>0</v>
      </c>
      <c r="AV154" s="71">
        <f t="shared" si="81"/>
        <v>0</v>
      </c>
      <c r="AW154" s="70">
        <f t="shared" si="82"/>
        <v>0</v>
      </c>
      <c r="AX154" s="70">
        <f t="shared" si="93"/>
        <v>0</v>
      </c>
      <c r="AY154" s="72">
        <f t="shared" si="83"/>
      </c>
      <c r="AZ154" s="70">
        <f>_xlfn.IFERROR(IF(Simulador!$U$29=1,0,IF($AT154&lt;=0.01,0,$AT154*Simulador!$AA$42)),0)+_xlfn.IFERROR(IF(Simulador!$U$29=1,0,IF($AT154&lt;=0.01,0,IF(Simulador!$D$22&gt;0,Simulador!$D$22,Simulador!$O$24)*Simulador!$AA$43)),0)</f>
        <v>0</v>
      </c>
      <c r="BA154" s="73"/>
      <c r="BB154" s="70">
        <f t="shared" si="84"/>
        <v>0</v>
      </c>
      <c r="BC154">
        <f t="shared" si="94"/>
        <v>0</v>
      </c>
      <c r="BD154" s="431">
        <f t="shared" si="95"/>
      </c>
      <c r="BE154" s="432">
        <f t="shared" si="96"/>
        <v>0</v>
      </c>
      <c r="BF154" s="69">
        <v>140</v>
      </c>
      <c r="BG154" s="38"/>
      <c r="BJ154" s="69"/>
      <c r="BM154" s="432"/>
    </row>
    <row r="155" spans="1:65" ht="12">
      <c r="A155" s="531">
        <v>141</v>
      </c>
      <c r="B155" s="106">
        <f t="shared" si="97"/>
        <v>0</v>
      </c>
      <c r="C155" s="106"/>
      <c r="D155" s="107">
        <f>IF(B155+F155-D154&lt;=0,B155+F155,IF(AND(OR(Simulador!$U$38=2,Simulador!$U$38=7),J154=0),D154*(1+AA155),IF($AE$3=2,B155*AQ155,D154*(1+AA155))))</f>
        <v>0</v>
      </c>
      <c r="E155" s="107"/>
      <c r="F155" s="107">
        <f t="shared" si="78"/>
        <v>0</v>
      </c>
      <c r="G155" s="107"/>
      <c r="H155" s="107">
        <f t="shared" si="98"/>
        <v>0</v>
      </c>
      <c r="I155" s="108"/>
      <c r="J155" s="109"/>
      <c r="K155" s="108"/>
      <c r="L155" s="107">
        <f>IF(Simulador!$T$40=1,0,J155*Simulador!$W$38*1.16)</f>
        <v>0</v>
      </c>
      <c r="M155" s="107"/>
      <c r="N155" s="111"/>
      <c r="O155" s="13"/>
      <c r="P155" s="664">
        <f t="shared" si="79"/>
      </c>
      <c r="Q155" s="3"/>
      <c r="R155" s="107">
        <f t="shared" si="85"/>
        <v>0</v>
      </c>
      <c r="S155" s="107"/>
      <c r="T155" s="107">
        <f>_xlfn.IFERROR(IF(Simulador!$U$29=1,0,IF($B155&lt;=0,0,$B155*Simulador!$AA$42)),0)</f>
        <v>0</v>
      </c>
      <c r="U155" s="107"/>
      <c r="V155" s="107">
        <f>_xlfn.IFERROR(IF(Simulador!$U$29=1,0,IF($B155&lt;=0,0,IF(Simulador!$D$22&gt;0,Simulador!$D$22,Simulador!$O$24)*Simulador!$AA$43)),0)</f>
        <v>0</v>
      </c>
      <c r="W155" s="107"/>
      <c r="X155" s="107"/>
      <c r="Y155" s="107">
        <f t="shared" si="80"/>
        <v>0</v>
      </c>
      <c r="Z155" s="14"/>
      <c r="AA155" s="19"/>
      <c r="AB155" s="24"/>
      <c r="AC155" s="303">
        <v>11</v>
      </c>
      <c r="AD155" s="302">
        <v>9</v>
      </c>
      <c r="AE155" s="400">
        <f t="shared" si="86"/>
        <v>0</v>
      </c>
      <c r="AF155" s="279">
        <f t="shared" si="87"/>
        <v>0</v>
      </c>
      <c r="AG155" s="279">
        <f t="shared" si="88"/>
        <v>0</v>
      </c>
      <c r="AH155" s="418">
        <f t="shared" si="89"/>
        <v>0</v>
      </c>
      <c r="AI155" s="296">
        <f>IF(Simulador!$T$67=1,'Tabla de amortizacion'!AJ155,'Tabla de amortizacion'!AR155)</f>
        <v>0.09</v>
      </c>
      <c r="AJ155" s="297">
        <f t="shared" si="99"/>
        <v>0.09</v>
      </c>
      <c r="AK155" s="298">
        <f t="shared" si="90"/>
        <v>0</v>
      </c>
      <c r="AL155" s="298"/>
      <c r="AM155" s="304"/>
      <c r="AN155" s="520">
        <f t="shared" si="77"/>
        <v>0.092</v>
      </c>
      <c r="AO155" s="520">
        <f t="shared" si="77"/>
        <v>0.092</v>
      </c>
      <c r="AP155" s="299">
        <v>0</v>
      </c>
      <c r="AQ155" s="414">
        <f t="shared" si="91"/>
        <v>0</v>
      </c>
      <c r="AR155" s="300">
        <f>IF(AND(Simulador!$T$67=2,Simulador!$T$61=1),AL155,IF(AND(Simulador!$T$67=2,Simulador!$T$61=2),AM155,IF(AND(Simulador!$T$67=2,Simulador!$T$61=3),AN155,AO155)))</f>
        <v>0.092</v>
      </c>
      <c r="AS155" s="281"/>
      <c r="AT155" s="70">
        <f t="shared" si="72"/>
        <v>0</v>
      </c>
      <c r="AU155" s="70">
        <f t="shared" si="92"/>
        <v>0</v>
      </c>
      <c r="AV155" s="71">
        <f t="shared" si="81"/>
        <v>0</v>
      </c>
      <c r="AW155" s="70">
        <f t="shared" si="82"/>
        <v>0</v>
      </c>
      <c r="AX155" s="70">
        <f t="shared" si="93"/>
        <v>0</v>
      </c>
      <c r="AY155" s="72">
        <f t="shared" si="83"/>
      </c>
      <c r="AZ155" s="70">
        <f>_xlfn.IFERROR(IF(Simulador!$U$29=1,0,IF($AT155&lt;=0.01,0,$AT155*Simulador!$AA$42)),0)+_xlfn.IFERROR(IF(Simulador!$U$29=1,0,IF($AT155&lt;=0.01,0,IF(Simulador!$D$22&gt;0,Simulador!$D$22,Simulador!$O$24)*Simulador!$AA$43)),0)</f>
        <v>0</v>
      </c>
      <c r="BA155" s="73"/>
      <c r="BB155" s="70">
        <f t="shared" si="84"/>
        <v>0</v>
      </c>
      <c r="BC155">
        <f t="shared" si="94"/>
        <v>0</v>
      </c>
      <c r="BD155" s="431">
        <f t="shared" si="95"/>
      </c>
      <c r="BE155" s="432">
        <f t="shared" si="96"/>
        <v>0</v>
      </c>
      <c r="BF155" s="69">
        <v>141</v>
      </c>
      <c r="BG155" s="38"/>
      <c r="BJ155" s="69"/>
      <c r="BM155" s="432"/>
    </row>
    <row r="156" spans="1:65" ht="12">
      <c r="A156" s="531">
        <v>142</v>
      </c>
      <c r="B156" s="106">
        <f t="shared" si="97"/>
        <v>0</v>
      </c>
      <c r="C156" s="106"/>
      <c r="D156" s="107">
        <f>IF(B156+F156-D155&lt;=0,B156+F156,IF(AND(OR(Simulador!$U$38=2,Simulador!$U$38=7),J155=0),D155*(1+AA156),IF($AE$3=2,B156*AQ156,D155*(1+AA156))))</f>
        <v>0</v>
      </c>
      <c r="E156" s="107"/>
      <c r="F156" s="107">
        <f t="shared" si="78"/>
        <v>0</v>
      </c>
      <c r="G156" s="107"/>
      <c r="H156" s="107">
        <f t="shared" si="98"/>
        <v>0</v>
      </c>
      <c r="I156" s="108"/>
      <c r="J156" s="109"/>
      <c r="K156" s="108"/>
      <c r="L156" s="107">
        <f>IF(Simulador!$T$40=1,0,J156*Simulador!$W$38*1.16)</f>
        <v>0</v>
      </c>
      <c r="M156" s="107"/>
      <c r="N156" s="110">
        <f>IF(B156-H156=0,0,N154)</f>
        <v>0</v>
      </c>
      <c r="O156" s="13"/>
      <c r="P156" s="664">
        <f t="shared" si="79"/>
      </c>
      <c r="Q156" s="3"/>
      <c r="R156" s="107">
        <f t="shared" si="85"/>
        <v>0</v>
      </c>
      <c r="S156" s="107"/>
      <c r="T156" s="107">
        <f>_xlfn.IFERROR(IF(Simulador!$U$29=1,0,IF($B156&lt;=0,0,$B156*Simulador!$AA$42)),0)</f>
        <v>0</v>
      </c>
      <c r="U156" s="107"/>
      <c r="V156" s="107">
        <f>_xlfn.IFERROR(IF(Simulador!$U$29=1,0,IF($B156&lt;=0,0,IF(Simulador!$D$22&gt;0,Simulador!$D$22,Simulador!$O$24)*Simulador!$AA$43)),0)</f>
        <v>0</v>
      </c>
      <c r="W156" s="107"/>
      <c r="X156" s="107"/>
      <c r="Y156" s="107">
        <f t="shared" si="80"/>
        <v>0</v>
      </c>
      <c r="Z156" s="14"/>
      <c r="AA156" s="19"/>
      <c r="AB156" s="24"/>
      <c r="AC156" s="303">
        <v>11</v>
      </c>
      <c r="AD156" s="302">
        <v>10</v>
      </c>
      <c r="AE156" s="400">
        <f t="shared" si="86"/>
        <v>0</v>
      </c>
      <c r="AF156" s="279">
        <f t="shared" si="87"/>
        <v>0</v>
      </c>
      <c r="AG156" s="279">
        <f t="shared" si="88"/>
        <v>0</v>
      </c>
      <c r="AH156" s="418">
        <f t="shared" si="89"/>
        <v>0</v>
      </c>
      <c r="AI156" s="296">
        <f>IF(Simulador!$T$67=1,'Tabla de amortizacion'!AJ156,'Tabla de amortizacion'!AR156)</f>
        <v>0.09</v>
      </c>
      <c r="AJ156" s="297">
        <f t="shared" si="99"/>
        <v>0.09</v>
      </c>
      <c r="AK156" s="298">
        <f t="shared" si="90"/>
        <v>0</v>
      </c>
      <c r="AL156" s="298"/>
      <c r="AM156" s="304"/>
      <c r="AN156" s="520">
        <f t="shared" si="77"/>
        <v>0.092</v>
      </c>
      <c r="AO156" s="520">
        <f t="shared" si="77"/>
        <v>0.092</v>
      </c>
      <c r="AP156" s="299">
        <v>0</v>
      </c>
      <c r="AQ156" s="414">
        <f t="shared" si="91"/>
        <v>0</v>
      </c>
      <c r="AR156" s="300">
        <f>IF(AND(Simulador!$T$67=2,Simulador!$T$61=1),AL156,IF(AND(Simulador!$T$67=2,Simulador!$T$61=2),AM156,IF(AND(Simulador!$T$67=2,Simulador!$T$61=3),AN156,AO156)))</f>
        <v>0.092</v>
      </c>
      <c r="AS156" s="281"/>
      <c r="AT156" s="70">
        <f t="shared" si="72"/>
        <v>0</v>
      </c>
      <c r="AU156" s="70">
        <f t="shared" si="92"/>
        <v>0</v>
      </c>
      <c r="AV156" s="71">
        <f t="shared" si="81"/>
        <v>0</v>
      </c>
      <c r="AW156" s="70">
        <f t="shared" si="82"/>
        <v>0</v>
      </c>
      <c r="AX156" s="70">
        <f t="shared" si="93"/>
        <v>0</v>
      </c>
      <c r="AY156" s="72">
        <f t="shared" si="83"/>
      </c>
      <c r="AZ156" s="70">
        <f>_xlfn.IFERROR(IF(Simulador!$U$29=1,0,IF($AT156&lt;=0.01,0,$AT156*Simulador!$AA$42)),0)+_xlfn.IFERROR(IF(Simulador!$U$29=1,0,IF($AT156&lt;=0.01,0,IF(Simulador!$D$22&gt;0,Simulador!$D$22,Simulador!$O$24)*Simulador!$AA$43)),0)</f>
        <v>0</v>
      </c>
      <c r="BA156" s="73"/>
      <c r="BB156" s="70">
        <f t="shared" si="84"/>
        <v>0</v>
      </c>
      <c r="BC156">
        <f t="shared" si="94"/>
        <v>0</v>
      </c>
      <c r="BD156" s="431">
        <f t="shared" si="95"/>
      </c>
      <c r="BE156" s="432">
        <f t="shared" si="96"/>
        <v>0</v>
      </c>
      <c r="BF156" s="69">
        <v>142</v>
      </c>
      <c r="BG156" s="38"/>
      <c r="BJ156" s="69"/>
      <c r="BM156" s="432"/>
    </row>
    <row r="157" spans="1:65" ht="12">
      <c r="A157" s="531">
        <v>143</v>
      </c>
      <c r="B157" s="106">
        <f t="shared" si="97"/>
        <v>0</v>
      </c>
      <c r="C157" s="106"/>
      <c r="D157" s="107">
        <f>IF(B157+F157-D156&lt;=0,B157+F157,IF(AND(OR(Simulador!$U$38=2,Simulador!$U$38=7),J156=0),D156*(1+AA157),IF($AE$3=2,B157*AQ157,D156*(1+AA157))))</f>
        <v>0</v>
      </c>
      <c r="E157" s="107"/>
      <c r="F157" s="107">
        <f t="shared" si="78"/>
        <v>0</v>
      </c>
      <c r="G157" s="107"/>
      <c r="H157" s="107">
        <f t="shared" si="98"/>
        <v>0</v>
      </c>
      <c r="I157" s="108"/>
      <c r="J157" s="109"/>
      <c r="K157" s="108"/>
      <c r="L157" s="107">
        <f>IF(Simulador!$T$40=1,0,J157*Simulador!$W$38*1.16)</f>
        <v>0</v>
      </c>
      <c r="M157" s="107"/>
      <c r="N157" s="111"/>
      <c r="O157" s="13"/>
      <c r="P157" s="664">
        <f t="shared" si="79"/>
      </c>
      <c r="Q157" s="3"/>
      <c r="R157" s="107">
        <f t="shared" si="85"/>
        <v>0</v>
      </c>
      <c r="S157" s="107"/>
      <c r="T157" s="107">
        <f>_xlfn.IFERROR(IF(Simulador!$U$29=1,0,IF($B157&lt;=0,0,$B157*Simulador!$AA$42)),0)</f>
        <v>0</v>
      </c>
      <c r="U157" s="107"/>
      <c r="V157" s="107">
        <f>_xlfn.IFERROR(IF(Simulador!$U$29=1,0,IF($B157&lt;=0,0,IF(Simulador!$D$22&gt;0,Simulador!$D$22,Simulador!$O$24)*Simulador!$AA$43)),0)</f>
        <v>0</v>
      </c>
      <c r="W157" s="107"/>
      <c r="X157" s="107"/>
      <c r="Y157" s="107">
        <f t="shared" si="80"/>
        <v>0</v>
      </c>
      <c r="Z157" s="14"/>
      <c r="AA157" s="19"/>
      <c r="AB157" s="24"/>
      <c r="AC157" s="303">
        <v>11</v>
      </c>
      <c r="AD157" s="295">
        <v>11</v>
      </c>
      <c r="AE157" s="400">
        <f t="shared" si="86"/>
        <v>0</v>
      </c>
      <c r="AF157" s="279">
        <f t="shared" si="87"/>
        <v>0</v>
      </c>
      <c r="AG157" s="279">
        <f t="shared" si="88"/>
        <v>0</v>
      </c>
      <c r="AH157" s="418">
        <f t="shared" si="89"/>
        <v>0</v>
      </c>
      <c r="AI157" s="296">
        <f>IF(Simulador!$T$67=1,'Tabla de amortizacion'!AJ157,'Tabla de amortizacion'!AR157)</f>
        <v>0.09</v>
      </c>
      <c r="AJ157" s="297">
        <f t="shared" si="99"/>
        <v>0.09</v>
      </c>
      <c r="AK157" s="298">
        <f t="shared" si="90"/>
        <v>0</v>
      </c>
      <c r="AL157" s="298"/>
      <c r="AM157" s="304"/>
      <c r="AN157" s="520">
        <f t="shared" si="77"/>
        <v>0.092</v>
      </c>
      <c r="AO157" s="520">
        <f t="shared" si="77"/>
        <v>0.092</v>
      </c>
      <c r="AP157" s="299">
        <v>0</v>
      </c>
      <c r="AQ157" s="414">
        <f t="shared" si="91"/>
        <v>0</v>
      </c>
      <c r="AR157" s="300">
        <f>IF(AND(Simulador!$T$67=2,Simulador!$T$61=1),AL157,IF(AND(Simulador!$T$67=2,Simulador!$T$61=2),AM157,IF(AND(Simulador!$T$67=2,Simulador!$T$61=3),AN157,AO157)))</f>
        <v>0.092</v>
      </c>
      <c r="AS157" s="281"/>
      <c r="AT157" s="70">
        <f aca="true" t="shared" si="100" ref="AT157:AT220">IF(AX156&lt;=0,0,AX156)</f>
        <v>0</v>
      </c>
      <c r="AU157" s="70">
        <f t="shared" si="92"/>
        <v>0</v>
      </c>
      <c r="AV157" s="71">
        <f t="shared" si="81"/>
        <v>0</v>
      </c>
      <c r="AW157" s="70">
        <f t="shared" si="82"/>
        <v>0</v>
      </c>
      <c r="AX157" s="70">
        <f t="shared" si="93"/>
        <v>0</v>
      </c>
      <c r="AY157" s="72">
        <f t="shared" si="83"/>
      </c>
      <c r="AZ157" s="70">
        <f>_xlfn.IFERROR(IF(Simulador!$U$29=1,0,IF($AT157&lt;=0.01,0,$AT157*Simulador!$AA$42)),0)+_xlfn.IFERROR(IF(Simulador!$U$29=1,0,IF($AT157&lt;=0.01,0,IF(Simulador!$D$22&gt;0,Simulador!$D$22,Simulador!$O$24)*Simulador!$AA$43)),0)</f>
        <v>0</v>
      </c>
      <c r="BA157" s="73"/>
      <c r="BB157" s="70">
        <f t="shared" si="84"/>
        <v>0</v>
      </c>
      <c r="BC157">
        <f t="shared" si="94"/>
        <v>0</v>
      </c>
      <c r="BD157" s="431">
        <f t="shared" si="95"/>
      </c>
      <c r="BE157" s="432">
        <f t="shared" si="96"/>
        <v>0</v>
      </c>
      <c r="BF157" s="69">
        <v>143</v>
      </c>
      <c r="BG157" s="38"/>
      <c r="BJ157" s="69"/>
      <c r="BM157" s="432"/>
    </row>
    <row r="158" spans="1:65" ht="12">
      <c r="A158" s="531">
        <v>144</v>
      </c>
      <c r="B158" s="106">
        <f t="shared" si="97"/>
        <v>0</v>
      </c>
      <c r="C158" s="106"/>
      <c r="D158" s="107">
        <f>IF(B158+F158-D157&lt;=0,B158+F158,IF(AND(OR(Simulador!$U$38=2,Simulador!$U$38=7),J157=0),D157*(1+AA158),IF($AE$3=2,B158*AQ158,D157*(1+AA158))))</f>
        <v>0</v>
      </c>
      <c r="E158" s="107"/>
      <c r="F158" s="107">
        <f t="shared" si="78"/>
        <v>0</v>
      </c>
      <c r="G158" s="107"/>
      <c r="H158" s="107">
        <f t="shared" si="98"/>
        <v>0</v>
      </c>
      <c r="I158" s="108"/>
      <c r="J158" s="109"/>
      <c r="K158" s="108"/>
      <c r="L158" s="107">
        <f>IF(Simulador!$T$40=1,0,J158*Simulador!$W$38*1.16)</f>
        <v>0</v>
      </c>
      <c r="M158" s="107"/>
      <c r="N158" s="110">
        <f>IF(B158-H158=0,0,N156)</f>
        <v>0</v>
      </c>
      <c r="O158" s="13"/>
      <c r="P158" s="664">
        <f t="shared" si="79"/>
      </c>
      <c r="Q158" s="3"/>
      <c r="R158" s="107">
        <f t="shared" si="85"/>
        <v>0</v>
      </c>
      <c r="S158" s="107"/>
      <c r="T158" s="107">
        <f>_xlfn.IFERROR(IF(Simulador!$U$29=1,0,IF($B158&lt;=0,0,$B158*Simulador!$AA$42)),0)</f>
        <v>0</v>
      </c>
      <c r="U158" s="107"/>
      <c r="V158" s="107">
        <f>_xlfn.IFERROR(IF(Simulador!$U$29=1,0,IF($B158&lt;=0,0,IF(Simulador!$D$22&gt;0,Simulador!$D$22,Simulador!$O$24)*Simulador!$AA$43)),0)</f>
        <v>0</v>
      </c>
      <c r="W158" s="107"/>
      <c r="X158" s="107"/>
      <c r="Y158" s="107">
        <f t="shared" si="80"/>
        <v>0</v>
      </c>
      <c r="Z158" s="14"/>
      <c r="AA158" s="19"/>
      <c r="AB158" s="24"/>
      <c r="AC158" s="303">
        <v>12</v>
      </c>
      <c r="AD158" s="295">
        <v>0</v>
      </c>
      <c r="AE158" s="400">
        <f t="shared" si="86"/>
        <v>0</v>
      </c>
      <c r="AF158" s="279">
        <f t="shared" si="87"/>
        <v>0</v>
      </c>
      <c r="AG158" s="279">
        <f t="shared" si="88"/>
        <v>0</v>
      </c>
      <c r="AH158" s="418">
        <f t="shared" si="89"/>
        <v>0</v>
      </c>
      <c r="AI158" s="296">
        <f>IF(Simulador!$T$67=1,'Tabla de amortizacion'!AJ158,'Tabla de amortizacion'!AR158)</f>
        <v>0.09</v>
      </c>
      <c r="AJ158" s="297">
        <f t="shared" si="99"/>
        <v>0.09</v>
      </c>
      <c r="AK158" s="298">
        <f t="shared" si="90"/>
        <v>0</v>
      </c>
      <c r="AL158" s="298"/>
      <c r="AM158" s="304"/>
      <c r="AN158" s="520">
        <f t="shared" si="77"/>
        <v>0.092</v>
      </c>
      <c r="AO158" s="520">
        <f t="shared" si="77"/>
        <v>0.092</v>
      </c>
      <c r="AP158" s="299">
        <v>0</v>
      </c>
      <c r="AQ158" s="414">
        <f t="shared" si="91"/>
        <v>0</v>
      </c>
      <c r="AR158" s="300">
        <f>IF(AND(Simulador!$T$67=2,Simulador!$T$61=1),AL158,IF(AND(Simulador!$T$67=2,Simulador!$T$61=2),AM158,IF(AND(Simulador!$T$67=2,Simulador!$T$61=3),AN158,AO158)))</f>
        <v>0.092</v>
      </c>
      <c r="AS158" s="281"/>
      <c r="AT158" s="70">
        <f t="shared" si="100"/>
        <v>0</v>
      </c>
      <c r="AU158" s="70">
        <f t="shared" si="92"/>
        <v>0</v>
      </c>
      <c r="AV158" s="71">
        <f t="shared" si="81"/>
        <v>0</v>
      </c>
      <c r="AW158" s="70">
        <f t="shared" si="82"/>
        <v>0</v>
      </c>
      <c r="AX158" s="70">
        <f t="shared" si="93"/>
        <v>0</v>
      </c>
      <c r="AY158" s="72">
        <f t="shared" si="83"/>
      </c>
      <c r="AZ158" s="70">
        <f>_xlfn.IFERROR(IF(Simulador!$U$29=1,0,IF($AT158&lt;=0.01,0,$AT158*Simulador!$AA$42)),0)+_xlfn.IFERROR(IF(Simulador!$U$29=1,0,IF($AT158&lt;=0.01,0,IF(Simulador!$D$22&gt;0,Simulador!$D$22,Simulador!$O$24)*Simulador!$AA$43)),0)</f>
        <v>0</v>
      </c>
      <c r="BA158" s="73"/>
      <c r="BB158" s="70">
        <f t="shared" si="84"/>
        <v>0</v>
      </c>
      <c r="BC158">
        <f t="shared" si="94"/>
        <v>0</v>
      </c>
      <c r="BD158" s="431">
        <f t="shared" si="95"/>
      </c>
      <c r="BE158" s="432">
        <f t="shared" si="96"/>
        <v>0</v>
      </c>
      <c r="BF158" s="69">
        <v>144</v>
      </c>
      <c r="BG158" s="38"/>
      <c r="BJ158" s="69"/>
      <c r="BM158" s="432"/>
    </row>
    <row r="159" spans="1:65" ht="12">
      <c r="A159" s="531">
        <v>145</v>
      </c>
      <c r="B159" s="106">
        <f t="shared" si="97"/>
        <v>0</v>
      </c>
      <c r="C159" s="106"/>
      <c r="D159" s="107">
        <f>IF(B159+F159-D158&lt;=0,B159+F159,IF(AND(OR(Simulador!$U$38=2,Simulador!$U$38=7),J158=0),D158*(1+AA159),IF($AE$3=2,B159*AQ159,D158*(1+AA159))))</f>
        <v>0</v>
      </c>
      <c r="E159" s="107"/>
      <c r="F159" s="107">
        <f t="shared" si="78"/>
        <v>0</v>
      </c>
      <c r="G159" s="107"/>
      <c r="H159" s="107">
        <f t="shared" si="98"/>
        <v>0</v>
      </c>
      <c r="I159" s="108"/>
      <c r="J159" s="109"/>
      <c r="K159" s="108"/>
      <c r="L159" s="107">
        <f>IF(Simulador!$T$40=1,0,J159*Simulador!$W$38*1.16)</f>
        <v>0</v>
      </c>
      <c r="M159" s="107"/>
      <c r="N159" s="111"/>
      <c r="O159" s="13"/>
      <c r="P159" s="664">
        <f t="shared" si="79"/>
      </c>
      <c r="Q159" s="3"/>
      <c r="R159" s="107">
        <f t="shared" si="85"/>
        <v>0</v>
      </c>
      <c r="S159" s="107"/>
      <c r="T159" s="107">
        <f>_xlfn.IFERROR(IF(Simulador!$U$29=1,0,IF($B159&lt;=0,0,$B159*Simulador!$AA$42)),0)</f>
        <v>0</v>
      </c>
      <c r="U159" s="107"/>
      <c r="V159" s="107">
        <f>_xlfn.IFERROR(IF(Simulador!$U$29=1,0,IF($B159&lt;=0,0,IF(Simulador!$D$22&gt;0,Simulador!$D$22,Simulador!$O$24)*Simulador!$AA$43)),0)</f>
        <v>0</v>
      </c>
      <c r="W159" s="107"/>
      <c r="X159" s="107"/>
      <c r="Y159" s="107">
        <f t="shared" si="80"/>
        <v>0</v>
      </c>
      <c r="Z159" s="14"/>
      <c r="AA159" s="19">
        <f>IF(B159&lt;=0,0,Simulador!$I$42)</f>
        <v>0</v>
      </c>
      <c r="AB159" s="24"/>
      <c r="AC159" s="303">
        <v>12</v>
      </c>
      <c r="AD159" s="295">
        <v>1</v>
      </c>
      <c r="AE159" s="400">
        <f t="shared" si="86"/>
        <v>0</v>
      </c>
      <c r="AF159" s="279">
        <f t="shared" si="87"/>
        <v>0</v>
      </c>
      <c r="AG159" s="279">
        <f t="shared" si="88"/>
        <v>0</v>
      </c>
      <c r="AH159" s="418">
        <f t="shared" si="89"/>
        <v>0</v>
      </c>
      <c r="AI159" s="296">
        <f>IF(Simulador!$T$67=1,'Tabla de amortizacion'!AJ159,'Tabla de amortizacion'!AR159)</f>
        <v>0.09</v>
      </c>
      <c r="AJ159" s="297">
        <f>IF(AJ158=$AM$4,AJ158,IF(AJ158-0.25%&lt;=$AM$4,$AM$4,AJ158-0.25%))</f>
        <v>0.09</v>
      </c>
      <c r="AK159" s="298">
        <f t="shared" si="90"/>
        <v>0</v>
      </c>
      <c r="AL159" s="298"/>
      <c r="AM159" s="304"/>
      <c r="AN159" s="520">
        <f t="shared" si="77"/>
        <v>0.092</v>
      </c>
      <c r="AO159" s="520">
        <f t="shared" si="77"/>
        <v>0.092</v>
      </c>
      <c r="AP159" s="299">
        <v>0</v>
      </c>
      <c r="AQ159" s="414">
        <f t="shared" si="91"/>
        <v>0</v>
      </c>
      <c r="AR159" s="300">
        <f>IF(AND(Simulador!$T$67=2,Simulador!$T$61=1),AL159,IF(AND(Simulador!$T$67=2,Simulador!$T$61=2),AM159,IF(AND(Simulador!$T$67=2,Simulador!$T$61=3),AN159,AO159)))</f>
        <v>0.092</v>
      </c>
      <c r="AS159" s="281"/>
      <c r="AT159" s="70">
        <f t="shared" si="100"/>
        <v>0</v>
      </c>
      <c r="AU159" s="70">
        <f t="shared" si="92"/>
        <v>0</v>
      </c>
      <c r="AV159" s="71">
        <f t="shared" si="81"/>
        <v>0</v>
      </c>
      <c r="AW159" s="70">
        <f t="shared" si="82"/>
        <v>0</v>
      </c>
      <c r="AX159" s="70">
        <f t="shared" si="93"/>
        <v>0</v>
      </c>
      <c r="AY159" s="72">
        <f t="shared" si="83"/>
      </c>
      <c r="AZ159" s="70">
        <f>_xlfn.IFERROR(IF(Simulador!$U$29=1,0,IF($AT159&lt;=0.01,0,$AT159*Simulador!$AA$42)),0)+_xlfn.IFERROR(IF(Simulador!$U$29=1,0,IF($AT159&lt;=0.01,0,IF(Simulador!$D$22&gt;0,Simulador!$D$22,Simulador!$O$24)*Simulador!$AA$43)),0)</f>
        <v>0</v>
      </c>
      <c r="BA159" s="73">
        <f>IF(AT159&lt;=0,0,$BA$27)</f>
        <v>0</v>
      </c>
      <c r="BB159" s="70">
        <f t="shared" si="84"/>
        <v>0</v>
      </c>
      <c r="BC159">
        <f t="shared" si="94"/>
        <v>0</v>
      </c>
      <c r="BD159" s="431">
        <f t="shared" si="95"/>
      </c>
      <c r="BE159" s="432">
        <f t="shared" si="96"/>
        <v>0</v>
      </c>
      <c r="BF159" s="69">
        <v>145</v>
      </c>
      <c r="BG159" s="38"/>
      <c r="BJ159" s="69"/>
      <c r="BM159" s="432"/>
    </row>
    <row r="160" spans="1:65" ht="12">
      <c r="A160" s="531">
        <v>146</v>
      </c>
      <c r="B160" s="106">
        <f t="shared" si="97"/>
        <v>0</v>
      </c>
      <c r="C160" s="106"/>
      <c r="D160" s="107">
        <f>IF(B160+F160-D159&lt;=0,B160+F160,IF(AND(OR(Simulador!$U$38=2,Simulador!$U$38=7),J159=0),D159*(1+AA160),IF($AE$3=2,B160*AQ160,D159*(1+AA160))))</f>
        <v>0</v>
      </c>
      <c r="E160" s="107"/>
      <c r="F160" s="107">
        <f t="shared" si="78"/>
        <v>0</v>
      </c>
      <c r="G160" s="107"/>
      <c r="H160" s="107">
        <f t="shared" si="98"/>
        <v>0</v>
      </c>
      <c r="I160" s="108"/>
      <c r="J160" s="109"/>
      <c r="K160" s="108"/>
      <c r="L160" s="107">
        <f>IF(Simulador!$T$40=1,0,J160*Simulador!$W$38*1.16)</f>
        <v>0</v>
      </c>
      <c r="M160" s="107"/>
      <c r="N160" s="110">
        <f>IF(B160-H160=0,0,N158*(1+(Simulador!$AF$76)))</f>
        <v>0</v>
      </c>
      <c r="O160" s="13"/>
      <c r="P160" s="664">
        <f t="shared" si="79"/>
      </c>
      <c r="Q160" s="3"/>
      <c r="R160" s="107">
        <f t="shared" si="85"/>
        <v>0</v>
      </c>
      <c r="S160" s="107"/>
      <c r="T160" s="107">
        <f>_xlfn.IFERROR(IF(Simulador!$U$29=1,0,IF($B160&lt;=0,0,$B160*Simulador!$AA$42)),0)</f>
        <v>0</v>
      </c>
      <c r="U160" s="107"/>
      <c r="V160" s="107">
        <f>_xlfn.IFERROR(IF(Simulador!$U$29=1,0,IF($B160&lt;=0,0,IF(Simulador!$D$22&gt;0,Simulador!$D$22,Simulador!$O$24)*Simulador!$AA$43)),0)</f>
        <v>0</v>
      </c>
      <c r="W160" s="107"/>
      <c r="X160" s="107"/>
      <c r="Y160" s="107">
        <f t="shared" si="80"/>
        <v>0</v>
      </c>
      <c r="Z160" s="14"/>
      <c r="AA160" s="19"/>
      <c r="AB160" s="24"/>
      <c r="AC160" s="303">
        <v>12</v>
      </c>
      <c r="AD160" s="301">
        <v>2</v>
      </c>
      <c r="AE160" s="400">
        <f t="shared" si="86"/>
        <v>0</v>
      </c>
      <c r="AF160" s="279">
        <f t="shared" si="87"/>
        <v>0</v>
      </c>
      <c r="AG160" s="279">
        <f t="shared" si="88"/>
        <v>0</v>
      </c>
      <c r="AH160" s="418">
        <f t="shared" si="89"/>
        <v>0</v>
      </c>
      <c r="AI160" s="296">
        <f>IF(Simulador!$T$67=1,'Tabla de amortizacion'!AJ160,'Tabla de amortizacion'!AR160)</f>
        <v>0.09</v>
      </c>
      <c r="AJ160" s="297">
        <f>AJ159</f>
        <v>0.09</v>
      </c>
      <c r="AK160" s="298">
        <f t="shared" si="90"/>
        <v>0</v>
      </c>
      <c r="AL160" s="298"/>
      <c r="AM160" s="304"/>
      <c r="AN160" s="520">
        <f t="shared" si="77"/>
        <v>0.092</v>
      </c>
      <c r="AO160" s="520">
        <f t="shared" si="77"/>
        <v>0.092</v>
      </c>
      <c r="AP160" s="299">
        <v>0</v>
      </c>
      <c r="AQ160" s="414">
        <f t="shared" si="91"/>
        <v>0</v>
      </c>
      <c r="AR160" s="300">
        <f>IF(AND(Simulador!$T$67=2,Simulador!$T$61=1),AL160,IF(AND(Simulador!$T$67=2,Simulador!$T$61=2),AM160,IF(AND(Simulador!$T$67=2,Simulador!$T$61=3),AN160,AO160)))</f>
        <v>0.092</v>
      </c>
      <c r="AS160" s="281"/>
      <c r="AT160" s="70">
        <f t="shared" si="100"/>
        <v>0</v>
      </c>
      <c r="AU160" s="70">
        <f t="shared" si="92"/>
        <v>0</v>
      </c>
      <c r="AV160" s="71">
        <f t="shared" si="81"/>
        <v>0</v>
      </c>
      <c r="AW160" s="70">
        <f t="shared" si="82"/>
        <v>0</v>
      </c>
      <c r="AX160" s="70">
        <f t="shared" si="93"/>
        <v>0</v>
      </c>
      <c r="AY160" s="72">
        <f t="shared" si="83"/>
      </c>
      <c r="AZ160" s="70">
        <f>_xlfn.IFERROR(IF(Simulador!$U$29=1,0,IF($AT160&lt;=0.01,0,$AT160*Simulador!$AA$42)),0)+_xlfn.IFERROR(IF(Simulador!$U$29=1,0,IF($AT160&lt;=0.01,0,IF(Simulador!$D$22&gt;0,Simulador!$D$22,Simulador!$O$24)*Simulador!$AA$43)),0)</f>
        <v>0</v>
      </c>
      <c r="BA160" s="73"/>
      <c r="BB160" s="70">
        <f t="shared" si="84"/>
        <v>0</v>
      </c>
      <c r="BC160">
        <f t="shared" si="94"/>
        <v>0</v>
      </c>
      <c r="BD160" s="431">
        <f t="shared" si="95"/>
      </c>
      <c r="BE160" s="432">
        <f t="shared" si="96"/>
        <v>0</v>
      </c>
      <c r="BF160" s="69">
        <v>146</v>
      </c>
      <c r="BG160" s="38"/>
      <c r="BJ160" s="69"/>
      <c r="BM160" s="432"/>
    </row>
    <row r="161" spans="1:65" ht="12">
      <c r="A161" s="531">
        <v>147</v>
      </c>
      <c r="B161" s="106">
        <f t="shared" si="97"/>
        <v>0</v>
      </c>
      <c r="C161" s="106"/>
      <c r="D161" s="107">
        <f>IF(B161+F161-D160&lt;=0,B161+F161,IF(AND(OR(Simulador!$U$38=2,Simulador!$U$38=7),J160=0),D160*(1+AA161),IF($AE$3=2,B161*AQ161,D160*(1+AA161))))</f>
        <v>0</v>
      </c>
      <c r="E161" s="107"/>
      <c r="F161" s="107">
        <f t="shared" si="78"/>
        <v>0</v>
      </c>
      <c r="G161" s="107"/>
      <c r="H161" s="107">
        <f t="shared" si="98"/>
        <v>0</v>
      </c>
      <c r="I161" s="108"/>
      <c r="J161" s="109"/>
      <c r="K161" s="108"/>
      <c r="L161" s="107">
        <f>IF(Simulador!$T$40=1,0,J161*Simulador!$W$38*1.16)</f>
        <v>0</v>
      </c>
      <c r="M161" s="107"/>
      <c r="N161" s="111"/>
      <c r="O161" s="13"/>
      <c r="P161" s="664">
        <f t="shared" si="79"/>
      </c>
      <c r="Q161" s="3"/>
      <c r="R161" s="107">
        <f t="shared" si="85"/>
        <v>0</v>
      </c>
      <c r="S161" s="107"/>
      <c r="T161" s="107">
        <f>_xlfn.IFERROR(IF(Simulador!$U$29=1,0,IF($B161&lt;=0,0,$B161*Simulador!$AA$42)),0)</f>
        <v>0</v>
      </c>
      <c r="U161" s="107"/>
      <c r="V161" s="107">
        <f>_xlfn.IFERROR(IF(Simulador!$U$29=1,0,IF($B161&lt;=0,0,IF(Simulador!$D$22&gt;0,Simulador!$D$22,Simulador!$O$24)*Simulador!$AA$43)),0)</f>
        <v>0</v>
      </c>
      <c r="W161" s="107"/>
      <c r="X161" s="107"/>
      <c r="Y161" s="107">
        <f t="shared" si="80"/>
        <v>0</v>
      </c>
      <c r="Z161" s="14"/>
      <c r="AA161" s="19"/>
      <c r="AB161" s="24"/>
      <c r="AC161" s="303">
        <v>12</v>
      </c>
      <c r="AD161" s="301">
        <v>3</v>
      </c>
      <c r="AE161" s="400">
        <f t="shared" si="86"/>
        <v>0</v>
      </c>
      <c r="AF161" s="279">
        <f t="shared" si="87"/>
        <v>0</v>
      </c>
      <c r="AG161" s="279">
        <f t="shared" si="88"/>
        <v>0</v>
      </c>
      <c r="AH161" s="418">
        <f t="shared" si="89"/>
        <v>0</v>
      </c>
      <c r="AI161" s="296">
        <f>IF(Simulador!$T$67=1,'Tabla de amortizacion'!AJ161,'Tabla de amortizacion'!AR161)</f>
        <v>0.09</v>
      </c>
      <c r="AJ161" s="297">
        <f aca="true" t="shared" si="101" ref="AJ161:AJ170">AJ160</f>
        <v>0.09</v>
      </c>
      <c r="AK161" s="298">
        <f t="shared" si="90"/>
        <v>0</v>
      </c>
      <c r="AL161" s="298"/>
      <c r="AM161" s="304"/>
      <c r="AN161" s="520">
        <f t="shared" si="77"/>
        <v>0.092</v>
      </c>
      <c r="AO161" s="520">
        <f t="shared" si="77"/>
        <v>0.092</v>
      </c>
      <c r="AP161" s="299">
        <v>0</v>
      </c>
      <c r="AQ161" s="414">
        <f t="shared" si="91"/>
        <v>0</v>
      </c>
      <c r="AR161" s="300">
        <f>IF(AND(Simulador!$T$67=2,Simulador!$T$61=1),AL161,IF(AND(Simulador!$T$67=2,Simulador!$T$61=2),AM161,IF(AND(Simulador!$T$67=2,Simulador!$T$61=3),AN161,AO161)))</f>
        <v>0.092</v>
      </c>
      <c r="AS161" s="281"/>
      <c r="AT161" s="70">
        <f t="shared" si="100"/>
        <v>0</v>
      </c>
      <c r="AU161" s="70">
        <f t="shared" si="92"/>
        <v>0</v>
      </c>
      <c r="AV161" s="71">
        <f t="shared" si="81"/>
        <v>0</v>
      </c>
      <c r="AW161" s="70">
        <f t="shared" si="82"/>
        <v>0</v>
      </c>
      <c r="AX161" s="70">
        <f t="shared" si="93"/>
        <v>0</v>
      </c>
      <c r="AY161" s="72">
        <f t="shared" si="83"/>
      </c>
      <c r="AZ161" s="70">
        <f>_xlfn.IFERROR(IF(Simulador!$U$29=1,0,IF($AT161&lt;=0.01,0,$AT161*Simulador!$AA$42)),0)+_xlfn.IFERROR(IF(Simulador!$U$29=1,0,IF($AT161&lt;=0.01,0,IF(Simulador!$D$22&gt;0,Simulador!$D$22,Simulador!$O$24)*Simulador!$AA$43)),0)</f>
        <v>0</v>
      </c>
      <c r="BA161" s="73"/>
      <c r="BB161" s="70">
        <f t="shared" si="84"/>
        <v>0</v>
      </c>
      <c r="BC161">
        <f t="shared" si="94"/>
        <v>0</v>
      </c>
      <c r="BD161" s="431">
        <f t="shared" si="95"/>
      </c>
      <c r="BE161" s="432">
        <f t="shared" si="96"/>
        <v>0</v>
      </c>
      <c r="BF161" s="69">
        <v>147</v>
      </c>
      <c r="BG161" s="38"/>
      <c r="BJ161" s="69"/>
      <c r="BM161" s="432"/>
    </row>
    <row r="162" spans="1:65" ht="12">
      <c r="A162" s="531">
        <v>148</v>
      </c>
      <c r="B162" s="106">
        <f t="shared" si="97"/>
        <v>0</v>
      </c>
      <c r="C162" s="106"/>
      <c r="D162" s="107">
        <f>IF(B162+F162-D161&lt;=0,B162+F162,IF(AND(OR(Simulador!$U$38=2,Simulador!$U$38=7),J161=0),D161*(1+AA162),IF($AE$3=2,B162*AQ162,D161*(1+AA162))))</f>
        <v>0</v>
      </c>
      <c r="E162" s="107"/>
      <c r="F162" s="107">
        <f t="shared" si="78"/>
        <v>0</v>
      </c>
      <c r="G162" s="107"/>
      <c r="H162" s="107">
        <f t="shared" si="98"/>
        <v>0</v>
      </c>
      <c r="I162" s="108"/>
      <c r="J162" s="109"/>
      <c r="K162" s="108"/>
      <c r="L162" s="107">
        <f>IF(Simulador!$T$40=1,0,J162*Simulador!$W$38*1.16)</f>
        <v>0</v>
      </c>
      <c r="M162" s="107"/>
      <c r="N162" s="110">
        <f>IF(B162-H162=0,0,N160)</f>
        <v>0</v>
      </c>
      <c r="O162" s="13"/>
      <c r="P162" s="664">
        <f t="shared" si="79"/>
      </c>
      <c r="Q162" s="3"/>
      <c r="R162" s="107">
        <f t="shared" si="85"/>
        <v>0</v>
      </c>
      <c r="S162" s="107"/>
      <c r="T162" s="107">
        <f>_xlfn.IFERROR(IF(Simulador!$U$29=1,0,IF($B162&lt;=0,0,$B162*Simulador!$AA$42)),0)</f>
        <v>0</v>
      </c>
      <c r="U162" s="107"/>
      <c r="V162" s="107">
        <f>_xlfn.IFERROR(IF(Simulador!$U$29=1,0,IF($B162&lt;=0,0,IF(Simulador!$D$22&gt;0,Simulador!$D$22,Simulador!$O$24)*Simulador!$AA$43)),0)</f>
        <v>0</v>
      </c>
      <c r="W162" s="107"/>
      <c r="X162" s="107"/>
      <c r="Y162" s="107">
        <f t="shared" si="80"/>
        <v>0</v>
      </c>
      <c r="Z162" s="14"/>
      <c r="AA162" s="19"/>
      <c r="AB162" s="24"/>
      <c r="AC162" s="303">
        <v>12</v>
      </c>
      <c r="AD162" s="295">
        <v>4</v>
      </c>
      <c r="AE162" s="400">
        <f t="shared" si="86"/>
        <v>0</v>
      </c>
      <c r="AF162" s="279">
        <f t="shared" si="87"/>
        <v>0</v>
      </c>
      <c r="AG162" s="279">
        <f t="shared" si="88"/>
        <v>0</v>
      </c>
      <c r="AH162" s="418">
        <f t="shared" si="89"/>
        <v>0</v>
      </c>
      <c r="AI162" s="296">
        <f>IF(Simulador!$T$67=1,'Tabla de amortizacion'!AJ162,'Tabla de amortizacion'!AR162)</f>
        <v>0.09</v>
      </c>
      <c r="AJ162" s="297">
        <f t="shared" si="101"/>
        <v>0.09</v>
      </c>
      <c r="AK162" s="298">
        <f t="shared" si="90"/>
        <v>0</v>
      </c>
      <c r="AL162" s="298"/>
      <c r="AM162" s="304"/>
      <c r="AN162" s="520">
        <f t="shared" si="77"/>
        <v>0.092</v>
      </c>
      <c r="AO162" s="520">
        <f t="shared" si="77"/>
        <v>0.092</v>
      </c>
      <c r="AP162" s="299">
        <v>0</v>
      </c>
      <c r="AQ162" s="414">
        <f t="shared" si="91"/>
        <v>0</v>
      </c>
      <c r="AR162" s="300">
        <f>IF(AND(Simulador!$T$67=2,Simulador!$T$61=1),AL162,IF(AND(Simulador!$T$67=2,Simulador!$T$61=2),AM162,IF(AND(Simulador!$T$67=2,Simulador!$T$61=3),AN162,AO162)))</f>
        <v>0.092</v>
      </c>
      <c r="AS162" s="281"/>
      <c r="AT162" s="70">
        <f t="shared" si="100"/>
        <v>0</v>
      </c>
      <c r="AU162" s="70">
        <f t="shared" si="92"/>
        <v>0</v>
      </c>
      <c r="AV162" s="71">
        <f t="shared" si="81"/>
        <v>0</v>
      </c>
      <c r="AW162" s="70">
        <f t="shared" si="82"/>
        <v>0</v>
      </c>
      <c r="AX162" s="70">
        <f t="shared" si="93"/>
        <v>0</v>
      </c>
      <c r="AY162" s="72">
        <f t="shared" si="83"/>
      </c>
      <c r="AZ162" s="70">
        <f>_xlfn.IFERROR(IF(Simulador!$U$29=1,0,IF($AT162&lt;=0.01,0,$AT162*Simulador!$AA$42)),0)+_xlfn.IFERROR(IF(Simulador!$U$29=1,0,IF($AT162&lt;=0.01,0,IF(Simulador!$D$22&gt;0,Simulador!$D$22,Simulador!$O$24)*Simulador!$AA$43)),0)</f>
        <v>0</v>
      </c>
      <c r="BA162" s="73"/>
      <c r="BB162" s="70">
        <f t="shared" si="84"/>
        <v>0</v>
      </c>
      <c r="BC162">
        <f t="shared" si="94"/>
        <v>0</v>
      </c>
      <c r="BD162" s="431">
        <f t="shared" si="95"/>
      </c>
      <c r="BE162" s="432">
        <f t="shared" si="96"/>
        <v>0</v>
      </c>
      <c r="BF162" s="69">
        <v>148</v>
      </c>
      <c r="BG162" s="38"/>
      <c r="BJ162" s="69"/>
      <c r="BM162" s="432"/>
    </row>
    <row r="163" spans="1:65" ht="12">
      <c r="A163" s="531">
        <v>149</v>
      </c>
      <c r="B163" s="106">
        <f t="shared" si="97"/>
        <v>0</v>
      </c>
      <c r="C163" s="106"/>
      <c r="D163" s="107">
        <f>IF(B163+F163-D162&lt;=0,B163+F163,IF(AND(OR(Simulador!$U$38=2,Simulador!$U$38=7),J162=0),D162*(1+AA163),IF($AE$3=2,B163*AQ163,D162*(1+AA163))))</f>
        <v>0</v>
      </c>
      <c r="E163" s="107"/>
      <c r="F163" s="107">
        <f t="shared" si="78"/>
        <v>0</v>
      </c>
      <c r="G163" s="107"/>
      <c r="H163" s="107">
        <f t="shared" si="98"/>
        <v>0</v>
      </c>
      <c r="I163" s="108"/>
      <c r="J163" s="109"/>
      <c r="K163" s="108"/>
      <c r="L163" s="107">
        <f>IF(Simulador!$T$40=1,0,J163*Simulador!$W$38*1.16)</f>
        <v>0</v>
      </c>
      <c r="M163" s="107"/>
      <c r="N163" s="111"/>
      <c r="O163" s="13"/>
      <c r="P163" s="664">
        <f t="shared" si="79"/>
      </c>
      <c r="Q163" s="3"/>
      <c r="R163" s="107">
        <f t="shared" si="85"/>
        <v>0</v>
      </c>
      <c r="S163" s="107"/>
      <c r="T163" s="107">
        <f>_xlfn.IFERROR(IF(Simulador!$U$29=1,0,IF($B163&lt;=0,0,$B163*Simulador!$AA$42)),0)</f>
        <v>0</v>
      </c>
      <c r="U163" s="107"/>
      <c r="V163" s="107">
        <f>_xlfn.IFERROR(IF(Simulador!$U$29=1,0,IF($B163&lt;=0,0,IF(Simulador!$D$22&gt;0,Simulador!$D$22,Simulador!$O$24)*Simulador!$AA$43)),0)</f>
        <v>0</v>
      </c>
      <c r="W163" s="107"/>
      <c r="X163" s="107"/>
      <c r="Y163" s="107">
        <f t="shared" si="80"/>
        <v>0</v>
      </c>
      <c r="Z163" s="14"/>
      <c r="AA163" s="19"/>
      <c r="AB163" s="24"/>
      <c r="AC163" s="303">
        <v>12</v>
      </c>
      <c r="AD163" s="295">
        <v>5</v>
      </c>
      <c r="AE163" s="400">
        <f t="shared" si="86"/>
        <v>0</v>
      </c>
      <c r="AF163" s="279">
        <f t="shared" si="87"/>
        <v>0</v>
      </c>
      <c r="AG163" s="279">
        <f t="shared" si="88"/>
        <v>0</v>
      </c>
      <c r="AH163" s="418">
        <f t="shared" si="89"/>
        <v>0</v>
      </c>
      <c r="AI163" s="296">
        <f>IF(Simulador!$T$67=1,'Tabla de amortizacion'!AJ163,'Tabla de amortizacion'!AR163)</f>
        <v>0.09</v>
      </c>
      <c r="AJ163" s="297">
        <f t="shared" si="101"/>
        <v>0.09</v>
      </c>
      <c r="AK163" s="298">
        <f t="shared" si="90"/>
        <v>0</v>
      </c>
      <c r="AL163" s="298"/>
      <c r="AM163" s="304"/>
      <c r="AN163" s="520">
        <f t="shared" si="77"/>
        <v>0.092</v>
      </c>
      <c r="AO163" s="520">
        <f t="shared" si="77"/>
        <v>0.092</v>
      </c>
      <c r="AP163" s="299">
        <v>0</v>
      </c>
      <c r="AQ163" s="414">
        <f t="shared" si="91"/>
        <v>0</v>
      </c>
      <c r="AR163" s="300">
        <f>IF(AND(Simulador!$T$67=2,Simulador!$T$61=1),AL163,IF(AND(Simulador!$T$67=2,Simulador!$T$61=2),AM163,IF(AND(Simulador!$T$67=2,Simulador!$T$61=3),AN163,AO163)))</f>
        <v>0.092</v>
      </c>
      <c r="AS163" s="281"/>
      <c r="AT163" s="70">
        <f t="shared" si="100"/>
        <v>0</v>
      </c>
      <c r="AU163" s="70">
        <f t="shared" si="92"/>
        <v>0</v>
      </c>
      <c r="AV163" s="71">
        <f t="shared" si="81"/>
        <v>0</v>
      </c>
      <c r="AW163" s="70">
        <f t="shared" si="82"/>
        <v>0</v>
      </c>
      <c r="AX163" s="70">
        <f t="shared" si="93"/>
        <v>0</v>
      </c>
      <c r="AY163" s="72">
        <f t="shared" si="83"/>
      </c>
      <c r="AZ163" s="70">
        <f>_xlfn.IFERROR(IF(Simulador!$U$29=1,0,IF($AT163&lt;=0.01,0,$AT163*Simulador!$AA$42)),0)+_xlfn.IFERROR(IF(Simulador!$U$29=1,0,IF($AT163&lt;=0.01,0,IF(Simulador!$D$22&gt;0,Simulador!$D$22,Simulador!$O$24)*Simulador!$AA$43)),0)</f>
        <v>0</v>
      </c>
      <c r="BA163" s="73"/>
      <c r="BB163" s="70">
        <f t="shared" si="84"/>
        <v>0</v>
      </c>
      <c r="BC163">
        <f t="shared" si="94"/>
        <v>0</v>
      </c>
      <c r="BD163" s="431">
        <f t="shared" si="95"/>
      </c>
      <c r="BE163" s="432">
        <f t="shared" si="96"/>
        <v>0</v>
      </c>
      <c r="BF163" s="69">
        <v>149</v>
      </c>
      <c r="BG163" s="38"/>
      <c r="BJ163" s="69"/>
      <c r="BM163" s="432"/>
    </row>
    <row r="164" spans="1:65" ht="12">
      <c r="A164" s="531">
        <v>150</v>
      </c>
      <c r="B164" s="106">
        <f t="shared" si="97"/>
        <v>0</v>
      </c>
      <c r="C164" s="106"/>
      <c r="D164" s="107">
        <f>IF(B164+F164-D163&lt;=0,B164+F164,IF(AND(OR(Simulador!$U$38=2,Simulador!$U$38=7),J163=0),D163*(1+AA164),IF($AE$3=2,B164*AQ164,D163*(1+AA164))))</f>
        <v>0</v>
      </c>
      <c r="E164" s="107"/>
      <c r="F164" s="107">
        <f t="shared" si="78"/>
        <v>0</v>
      </c>
      <c r="G164" s="107"/>
      <c r="H164" s="107">
        <f t="shared" si="98"/>
        <v>0</v>
      </c>
      <c r="I164" s="108"/>
      <c r="J164" s="109"/>
      <c r="K164" s="108"/>
      <c r="L164" s="107">
        <f>IF(Simulador!$T$40=1,0,J164*Simulador!$W$38*1.16)</f>
        <v>0</v>
      </c>
      <c r="M164" s="107"/>
      <c r="N164" s="110">
        <f>IF(B164-H164=0,0,N162)</f>
        <v>0</v>
      </c>
      <c r="O164" s="13"/>
      <c r="P164" s="664">
        <f t="shared" si="79"/>
      </c>
      <c r="Q164" s="3"/>
      <c r="R164" s="107">
        <f t="shared" si="85"/>
        <v>0</v>
      </c>
      <c r="S164" s="107"/>
      <c r="T164" s="107">
        <f>_xlfn.IFERROR(IF(Simulador!$U$29=1,0,IF($B164&lt;=0,0,$B164*Simulador!$AA$42)),0)</f>
        <v>0</v>
      </c>
      <c r="U164" s="107"/>
      <c r="V164" s="107">
        <f>_xlfn.IFERROR(IF(Simulador!$U$29=1,0,IF($B164&lt;=0,0,IF(Simulador!$D$22&gt;0,Simulador!$D$22,Simulador!$O$24)*Simulador!$AA$43)),0)</f>
        <v>0</v>
      </c>
      <c r="W164" s="107"/>
      <c r="X164" s="107"/>
      <c r="Y164" s="107">
        <f t="shared" si="80"/>
        <v>0</v>
      </c>
      <c r="Z164" s="14"/>
      <c r="AA164" s="19"/>
      <c r="AB164" s="24"/>
      <c r="AC164" s="303">
        <v>12</v>
      </c>
      <c r="AD164" s="295">
        <v>6</v>
      </c>
      <c r="AE164" s="400">
        <f t="shared" si="86"/>
        <v>0</v>
      </c>
      <c r="AF164" s="279">
        <f t="shared" si="87"/>
        <v>0</v>
      </c>
      <c r="AG164" s="279">
        <f t="shared" si="88"/>
        <v>0</v>
      </c>
      <c r="AH164" s="418">
        <f t="shared" si="89"/>
        <v>0</v>
      </c>
      <c r="AI164" s="296">
        <f>IF(Simulador!$T$67=1,'Tabla de amortizacion'!AJ164,'Tabla de amortizacion'!AR164)</f>
        <v>0.09</v>
      </c>
      <c r="AJ164" s="297">
        <f t="shared" si="101"/>
        <v>0.09</v>
      </c>
      <c r="AK164" s="298">
        <f t="shared" si="90"/>
        <v>0</v>
      </c>
      <c r="AL164" s="298"/>
      <c r="AM164" s="304"/>
      <c r="AN164" s="520">
        <f t="shared" si="77"/>
        <v>0.092</v>
      </c>
      <c r="AO164" s="520">
        <f t="shared" si="77"/>
        <v>0.092</v>
      </c>
      <c r="AP164" s="299">
        <v>0</v>
      </c>
      <c r="AQ164" s="414">
        <f t="shared" si="91"/>
        <v>0</v>
      </c>
      <c r="AR164" s="300">
        <f>IF(AND(Simulador!$T$67=2,Simulador!$T$61=1),AL164,IF(AND(Simulador!$T$67=2,Simulador!$T$61=2),AM164,IF(AND(Simulador!$T$67=2,Simulador!$T$61=3),AN164,AO164)))</f>
        <v>0.092</v>
      </c>
      <c r="AS164" s="281"/>
      <c r="AT164" s="70">
        <f t="shared" si="100"/>
        <v>0</v>
      </c>
      <c r="AU164" s="70">
        <f t="shared" si="92"/>
        <v>0</v>
      </c>
      <c r="AV164" s="71">
        <f t="shared" si="81"/>
        <v>0</v>
      </c>
      <c r="AW164" s="70">
        <f t="shared" si="82"/>
        <v>0</v>
      </c>
      <c r="AX164" s="70">
        <f t="shared" si="93"/>
        <v>0</v>
      </c>
      <c r="AY164" s="72">
        <f t="shared" si="83"/>
      </c>
      <c r="AZ164" s="70">
        <f>_xlfn.IFERROR(IF(Simulador!$U$29=1,0,IF($AT164&lt;=0.01,0,$AT164*Simulador!$AA$42)),0)+_xlfn.IFERROR(IF(Simulador!$U$29=1,0,IF($AT164&lt;=0.01,0,IF(Simulador!$D$22&gt;0,Simulador!$D$22,Simulador!$O$24)*Simulador!$AA$43)),0)</f>
        <v>0</v>
      </c>
      <c r="BA164" s="73"/>
      <c r="BB164" s="70">
        <f t="shared" si="84"/>
        <v>0</v>
      </c>
      <c r="BC164">
        <f t="shared" si="94"/>
        <v>0</v>
      </c>
      <c r="BD164" s="431">
        <f t="shared" si="95"/>
      </c>
      <c r="BE164" s="432">
        <f t="shared" si="96"/>
        <v>0</v>
      </c>
      <c r="BF164" s="69">
        <v>150</v>
      </c>
      <c r="BG164" s="38"/>
      <c r="BJ164" s="69"/>
      <c r="BM164" s="432"/>
    </row>
    <row r="165" spans="1:65" ht="12">
      <c r="A165" s="531">
        <v>151</v>
      </c>
      <c r="B165" s="106">
        <f t="shared" si="97"/>
        <v>0</v>
      </c>
      <c r="C165" s="106"/>
      <c r="D165" s="107">
        <f>IF(B165+F165-D164&lt;=0,B165+F165,IF(AND(OR(Simulador!$U$38=2,Simulador!$U$38=7),J164=0),D164*(1+AA165),IF($AE$3=2,B165*AQ165,D164*(1+AA165))))</f>
        <v>0</v>
      </c>
      <c r="E165" s="107"/>
      <c r="F165" s="107">
        <f t="shared" si="78"/>
        <v>0</v>
      </c>
      <c r="G165" s="107"/>
      <c r="H165" s="107">
        <f t="shared" si="98"/>
        <v>0</v>
      </c>
      <c r="I165" s="108"/>
      <c r="J165" s="109"/>
      <c r="K165" s="108"/>
      <c r="L165" s="107">
        <f>IF(Simulador!$T$40=1,0,J165*Simulador!$W$38*1.16)</f>
        <v>0</v>
      </c>
      <c r="M165" s="107"/>
      <c r="N165" s="111"/>
      <c r="O165" s="13"/>
      <c r="P165" s="664">
        <f t="shared" si="79"/>
      </c>
      <c r="Q165" s="3"/>
      <c r="R165" s="107">
        <f t="shared" si="85"/>
        <v>0</v>
      </c>
      <c r="S165" s="107"/>
      <c r="T165" s="107">
        <f>_xlfn.IFERROR(IF(Simulador!$U$29=1,0,IF($B165&lt;=0,0,$B165*Simulador!$AA$42)),0)</f>
        <v>0</v>
      </c>
      <c r="U165" s="107"/>
      <c r="V165" s="107">
        <f>_xlfn.IFERROR(IF(Simulador!$U$29=1,0,IF($B165&lt;=0,0,IF(Simulador!$D$22&gt;0,Simulador!$D$22,Simulador!$O$24)*Simulador!$AA$43)),0)</f>
        <v>0</v>
      </c>
      <c r="W165" s="107"/>
      <c r="X165" s="107"/>
      <c r="Y165" s="107">
        <f t="shared" si="80"/>
        <v>0</v>
      </c>
      <c r="Z165" s="14"/>
      <c r="AA165" s="19"/>
      <c r="AB165" s="24"/>
      <c r="AC165" s="303">
        <v>12</v>
      </c>
      <c r="AD165" s="295">
        <v>7</v>
      </c>
      <c r="AE165" s="400">
        <f t="shared" si="86"/>
        <v>0</v>
      </c>
      <c r="AF165" s="279">
        <f t="shared" si="87"/>
        <v>0</v>
      </c>
      <c r="AG165" s="279">
        <f t="shared" si="88"/>
        <v>0</v>
      </c>
      <c r="AH165" s="418">
        <f t="shared" si="89"/>
        <v>0</v>
      </c>
      <c r="AI165" s="296">
        <f>IF(Simulador!$T$67=1,'Tabla de amortizacion'!AJ165,'Tabla de amortizacion'!AR165)</f>
        <v>0.09</v>
      </c>
      <c r="AJ165" s="297">
        <f t="shared" si="101"/>
        <v>0.09</v>
      </c>
      <c r="AK165" s="298">
        <f t="shared" si="90"/>
        <v>0</v>
      </c>
      <c r="AL165" s="298"/>
      <c r="AM165" s="304"/>
      <c r="AN165" s="520">
        <f t="shared" si="77"/>
        <v>0.092</v>
      </c>
      <c r="AO165" s="520">
        <f t="shared" si="77"/>
        <v>0.092</v>
      </c>
      <c r="AP165" s="299">
        <v>0</v>
      </c>
      <c r="AQ165" s="414">
        <f t="shared" si="91"/>
        <v>0</v>
      </c>
      <c r="AR165" s="300">
        <f>IF(AND(Simulador!$T$67=2,Simulador!$T$61=1),AL165,IF(AND(Simulador!$T$67=2,Simulador!$T$61=2),AM165,IF(AND(Simulador!$T$67=2,Simulador!$T$61=3),AN165,AO165)))</f>
        <v>0.092</v>
      </c>
      <c r="AS165" s="281"/>
      <c r="AT165" s="70">
        <f t="shared" si="100"/>
        <v>0</v>
      </c>
      <c r="AU165" s="70">
        <f t="shared" si="92"/>
        <v>0</v>
      </c>
      <c r="AV165" s="71">
        <f t="shared" si="81"/>
        <v>0</v>
      </c>
      <c r="AW165" s="70">
        <f t="shared" si="82"/>
        <v>0</v>
      </c>
      <c r="AX165" s="70">
        <f t="shared" si="93"/>
        <v>0</v>
      </c>
      <c r="AY165" s="72">
        <f t="shared" si="83"/>
      </c>
      <c r="AZ165" s="70">
        <f>_xlfn.IFERROR(IF(Simulador!$U$29=1,0,IF($AT165&lt;=0.01,0,$AT165*Simulador!$AA$42)),0)+_xlfn.IFERROR(IF(Simulador!$U$29=1,0,IF($AT165&lt;=0.01,0,IF(Simulador!$D$22&gt;0,Simulador!$D$22,Simulador!$O$24)*Simulador!$AA$43)),0)</f>
        <v>0</v>
      </c>
      <c r="BA165" s="73"/>
      <c r="BB165" s="70">
        <f t="shared" si="84"/>
        <v>0</v>
      </c>
      <c r="BC165">
        <f t="shared" si="94"/>
        <v>0</v>
      </c>
      <c r="BD165" s="431">
        <f t="shared" si="95"/>
      </c>
      <c r="BE165" s="432">
        <f t="shared" si="96"/>
        <v>0</v>
      </c>
      <c r="BF165" s="69">
        <v>151</v>
      </c>
      <c r="BG165" s="38"/>
      <c r="BJ165" s="69"/>
      <c r="BM165" s="432"/>
    </row>
    <row r="166" spans="1:65" ht="12">
      <c r="A166" s="531">
        <v>152</v>
      </c>
      <c r="B166" s="106">
        <f t="shared" si="97"/>
        <v>0</v>
      </c>
      <c r="C166" s="106"/>
      <c r="D166" s="107">
        <f>IF(B166+F166-D165&lt;=0,B166+F166,IF(AND(OR(Simulador!$U$38=2,Simulador!$U$38=7),J165=0),D165*(1+AA166),IF($AE$3=2,B166*AQ166,D165*(1+AA166))))</f>
        <v>0</v>
      </c>
      <c r="E166" s="107"/>
      <c r="F166" s="107">
        <f t="shared" si="78"/>
        <v>0</v>
      </c>
      <c r="G166" s="107"/>
      <c r="H166" s="107">
        <f t="shared" si="98"/>
        <v>0</v>
      </c>
      <c r="I166" s="108"/>
      <c r="J166" s="109"/>
      <c r="K166" s="108"/>
      <c r="L166" s="107">
        <f>IF(Simulador!$T$40=1,0,J166*Simulador!$W$38*1.16)</f>
        <v>0</v>
      </c>
      <c r="M166" s="107"/>
      <c r="N166" s="110">
        <f>IF(B166-H166=0,0,N164)</f>
        <v>0</v>
      </c>
      <c r="O166" s="13"/>
      <c r="P166" s="664">
        <f t="shared" si="79"/>
      </c>
      <c r="Q166" s="3"/>
      <c r="R166" s="107">
        <f t="shared" si="85"/>
        <v>0</v>
      </c>
      <c r="S166" s="107"/>
      <c r="T166" s="107">
        <f>_xlfn.IFERROR(IF(Simulador!$U$29=1,0,IF($B166&lt;=0,0,$B166*Simulador!$AA$42)),0)</f>
        <v>0</v>
      </c>
      <c r="U166" s="107"/>
      <c r="V166" s="107">
        <f>_xlfn.IFERROR(IF(Simulador!$U$29=1,0,IF($B166&lt;=0,0,IF(Simulador!$D$22&gt;0,Simulador!$D$22,Simulador!$O$24)*Simulador!$AA$43)),0)</f>
        <v>0</v>
      </c>
      <c r="W166" s="107"/>
      <c r="X166" s="107"/>
      <c r="Y166" s="107">
        <f t="shared" si="80"/>
        <v>0</v>
      </c>
      <c r="Z166" s="14"/>
      <c r="AA166" s="19"/>
      <c r="AB166" s="24"/>
      <c r="AC166" s="303">
        <v>12</v>
      </c>
      <c r="AD166" s="295">
        <v>8</v>
      </c>
      <c r="AE166" s="400">
        <f t="shared" si="86"/>
        <v>0</v>
      </c>
      <c r="AF166" s="279">
        <f t="shared" si="87"/>
        <v>0</v>
      </c>
      <c r="AG166" s="279">
        <f t="shared" si="88"/>
        <v>0</v>
      </c>
      <c r="AH166" s="418">
        <f t="shared" si="89"/>
        <v>0</v>
      </c>
      <c r="AI166" s="296">
        <f>IF(Simulador!$T$67=1,'Tabla de amortizacion'!AJ166,'Tabla de amortizacion'!AR166)</f>
        <v>0.09</v>
      </c>
      <c r="AJ166" s="297">
        <f t="shared" si="101"/>
        <v>0.09</v>
      </c>
      <c r="AK166" s="298">
        <f t="shared" si="90"/>
        <v>0</v>
      </c>
      <c r="AL166" s="298"/>
      <c r="AM166" s="304"/>
      <c r="AN166" s="520">
        <f t="shared" si="77"/>
        <v>0.092</v>
      </c>
      <c r="AO166" s="520">
        <f t="shared" si="77"/>
        <v>0.092</v>
      </c>
      <c r="AP166" s="299">
        <v>0</v>
      </c>
      <c r="AQ166" s="414">
        <f t="shared" si="91"/>
        <v>0</v>
      </c>
      <c r="AR166" s="300">
        <f>IF(AND(Simulador!$T$67=2,Simulador!$T$61=1),AL166,IF(AND(Simulador!$T$67=2,Simulador!$T$61=2),AM166,IF(AND(Simulador!$T$67=2,Simulador!$T$61=3),AN166,AO166)))</f>
        <v>0.092</v>
      </c>
      <c r="AS166" s="281"/>
      <c r="AT166" s="70">
        <f t="shared" si="100"/>
        <v>0</v>
      </c>
      <c r="AU166" s="70">
        <f t="shared" si="92"/>
        <v>0</v>
      </c>
      <c r="AV166" s="71">
        <f t="shared" si="81"/>
        <v>0</v>
      </c>
      <c r="AW166" s="70">
        <f t="shared" si="82"/>
        <v>0</v>
      </c>
      <c r="AX166" s="70">
        <f t="shared" si="93"/>
        <v>0</v>
      </c>
      <c r="AY166" s="72">
        <f t="shared" si="83"/>
      </c>
      <c r="AZ166" s="70">
        <f>_xlfn.IFERROR(IF(Simulador!$U$29=1,0,IF($AT166&lt;=0.01,0,$AT166*Simulador!$AA$42)),0)+_xlfn.IFERROR(IF(Simulador!$U$29=1,0,IF($AT166&lt;=0.01,0,IF(Simulador!$D$22&gt;0,Simulador!$D$22,Simulador!$O$24)*Simulador!$AA$43)),0)</f>
        <v>0</v>
      </c>
      <c r="BA166" s="73"/>
      <c r="BB166" s="70">
        <f t="shared" si="84"/>
        <v>0</v>
      </c>
      <c r="BC166">
        <f t="shared" si="94"/>
        <v>0</v>
      </c>
      <c r="BD166" s="431">
        <f t="shared" si="95"/>
      </c>
      <c r="BE166" s="432">
        <f t="shared" si="96"/>
        <v>0</v>
      </c>
      <c r="BF166" s="69">
        <v>152</v>
      </c>
      <c r="BG166" s="38"/>
      <c r="BJ166" s="69"/>
      <c r="BM166" s="432"/>
    </row>
    <row r="167" spans="1:65" ht="12">
      <c r="A167" s="531">
        <v>153</v>
      </c>
      <c r="B167" s="106">
        <f t="shared" si="97"/>
        <v>0</v>
      </c>
      <c r="C167" s="106"/>
      <c r="D167" s="107">
        <f>IF(B167+F167-D166&lt;=0,B167+F167,IF(AND(OR(Simulador!$U$38=2,Simulador!$U$38=7),J166=0),D166*(1+AA167),IF($AE$3=2,B167*AQ167,D166*(1+AA167))))</f>
        <v>0</v>
      </c>
      <c r="E167" s="107"/>
      <c r="F167" s="107">
        <f t="shared" si="78"/>
        <v>0</v>
      </c>
      <c r="G167" s="107"/>
      <c r="H167" s="107">
        <f t="shared" si="98"/>
        <v>0</v>
      </c>
      <c r="I167" s="108"/>
      <c r="J167" s="109"/>
      <c r="K167" s="108"/>
      <c r="L167" s="107">
        <f>IF(Simulador!$T$40=1,0,J167*Simulador!$W$38*1.16)</f>
        <v>0</v>
      </c>
      <c r="M167" s="107"/>
      <c r="N167" s="111"/>
      <c r="O167" s="13"/>
      <c r="P167" s="664">
        <f t="shared" si="79"/>
      </c>
      <c r="Q167" s="3"/>
      <c r="R167" s="107">
        <f t="shared" si="85"/>
        <v>0</v>
      </c>
      <c r="S167" s="107"/>
      <c r="T167" s="107">
        <f>_xlfn.IFERROR(IF(Simulador!$U$29=1,0,IF($B167&lt;=0,0,$B167*Simulador!$AA$42)),0)</f>
        <v>0</v>
      </c>
      <c r="U167" s="107"/>
      <c r="V167" s="107">
        <f>_xlfn.IFERROR(IF(Simulador!$U$29=1,0,IF($B167&lt;=0,0,IF(Simulador!$D$22&gt;0,Simulador!$D$22,Simulador!$O$24)*Simulador!$AA$43)),0)</f>
        <v>0</v>
      </c>
      <c r="W167" s="107"/>
      <c r="X167" s="107"/>
      <c r="Y167" s="107">
        <f t="shared" si="80"/>
        <v>0</v>
      </c>
      <c r="Z167" s="14"/>
      <c r="AA167" s="19"/>
      <c r="AB167" s="24"/>
      <c r="AC167" s="303">
        <v>12</v>
      </c>
      <c r="AD167" s="302">
        <v>9</v>
      </c>
      <c r="AE167" s="400">
        <f t="shared" si="86"/>
        <v>0</v>
      </c>
      <c r="AF167" s="279">
        <f t="shared" si="87"/>
        <v>0</v>
      </c>
      <c r="AG167" s="279">
        <f t="shared" si="88"/>
        <v>0</v>
      </c>
      <c r="AH167" s="418">
        <f t="shared" si="89"/>
        <v>0</v>
      </c>
      <c r="AI167" s="296">
        <f>IF(Simulador!$T$67=1,'Tabla de amortizacion'!AJ167,'Tabla de amortizacion'!AR167)</f>
        <v>0.09</v>
      </c>
      <c r="AJ167" s="297">
        <f t="shared" si="101"/>
        <v>0.09</v>
      </c>
      <c r="AK167" s="298">
        <f t="shared" si="90"/>
        <v>0</v>
      </c>
      <c r="AL167" s="298"/>
      <c r="AM167" s="304"/>
      <c r="AN167" s="520">
        <f t="shared" si="77"/>
        <v>0.092</v>
      </c>
      <c r="AO167" s="520">
        <f t="shared" si="77"/>
        <v>0.092</v>
      </c>
      <c r="AP167" s="299">
        <v>0</v>
      </c>
      <c r="AQ167" s="414">
        <f t="shared" si="91"/>
        <v>0</v>
      </c>
      <c r="AR167" s="300">
        <f>IF(AND(Simulador!$T$67=2,Simulador!$T$61=1),AL167,IF(AND(Simulador!$T$67=2,Simulador!$T$61=2),AM167,IF(AND(Simulador!$T$67=2,Simulador!$T$61=3),AN167,AO167)))</f>
        <v>0.092</v>
      </c>
      <c r="AS167" s="281"/>
      <c r="AT167" s="70">
        <f t="shared" si="100"/>
        <v>0</v>
      </c>
      <c r="AU167" s="70">
        <f t="shared" si="92"/>
        <v>0</v>
      </c>
      <c r="AV167" s="71">
        <f t="shared" si="81"/>
        <v>0</v>
      </c>
      <c r="AW167" s="70">
        <f t="shared" si="82"/>
        <v>0</v>
      </c>
      <c r="AX167" s="70">
        <f t="shared" si="93"/>
        <v>0</v>
      </c>
      <c r="AY167" s="72">
        <f t="shared" si="83"/>
      </c>
      <c r="AZ167" s="70">
        <f>_xlfn.IFERROR(IF(Simulador!$U$29=1,0,IF($AT167&lt;=0.01,0,$AT167*Simulador!$AA$42)),0)+_xlfn.IFERROR(IF(Simulador!$U$29=1,0,IF($AT167&lt;=0.01,0,IF(Simulador!$D$22&gt;0,Simulador!$D$22,Simulador!$O$24)*Simulador!$AA$43)),0)</f>
        <v>0</v>
      </c>
      <c r="BA167" s="73"/>
      <c r="BB167" s="70">
        <f t="shared" si="84"/>
        <v>0</v>
      </c>
      <c r="BC167">
        <f t="shared" si="94"/>
        <v>0</v>
      </c>
      <c r="BD167" s="431">
        <f t="shared" si="95"/>
      </c>
      <c r="BE167" s="432">
        <f t="shared" si="96"/>
        <v>0</v>
      </c>
      <c r="BF167" s="69">
        <v>153</v>
      </c>
      <c r="BG167" s="38"/>
      <c r="BJ167" s="69"/>
      <c r="BM167" s="432"/>
    </row>
    <row r="168" spans="1:65" ht="12">
      <c r="A168" s="531">
        <v>154</v>
      </c>
      <c r="B168" s="106">
        <f t="shared" si="97"/>
        <v>0</v>
      </c>
      <c r="C168" s="106"/>
      <c r="D168" s="107">
        <f>IF(B168+F168-D167&lt;=0,B168+F168,IF(AND(OR(Simulador!$U$38=2,Simulador!$U$38=7),J167=0),D167*(1+AA168),IF($AE$3=2,B168*AQ168,D167*(1+AA168))))</f>
        <v>0</v>
      </c>
      <c r="E168" s="107"/>
      <c r="F168" s="107">
        <f t="shared" si="78"/>
        <v>0</v>
      </c>
      <c r="G168" s="107"/>
      <c r="H168" s="107">
        <f t="shared" si="98"/>
        <v>0</v>
      </c>
      <c r="I168" s="108"/>
      <c r="J168" s="109"/>
      <c r="K168" s="108"/>
      <c r="L168" s="107">
        <f>IF(Simulador!$T$40=1,0,J168*Simulador!$W$38*1.16)</f>
        <v>0</v>
      </c>
      <c r="M168" s="107"/>
      <c r="N168" s="110">
        <f>IF(B168-H168=0,0,N166)</f>
        <v>0</v>
      </c>
      <c r="O168" s="13"/>
      <c r="P168" s="664">
        <f t="shared" si="79"/>
      </c>
      <c r="Q168" s="3"/>
      <c r="R168" s="107">
        <f t="shared" si="85"/>
        <v>0</v>
      </c>
      <c r="S168" s="107"/>
      <c r="T168" s="107">
        <f>_xlfn.IFERROR(IF(Simulador!$U$29=1,0,IF($B168&lt;=0,0,$B168*Simulador!$AA$42)),0)</f>
        <v>0</v>
      </c>
      <c r="U168" s="107"/>
      <c r="V168" s="107">
        <f>_xlfn.IFERROR(IF(Simulador!$U$29=1,0,IF($B168&lt;=0,0,IF(Simulador!$D$22&gt;0,Simulador!$D$22,Simulador!$O$24)*Simulador!$AA$43)),0)</f>
        <v>0</v>
      </c>
      <c r="W168" s="107"/>
      <c r="X168" s="107"/>
      <c r="Y168" s="107">
        <f t="shared" si="80"/>
        <v>0</v>
      </c>
      <c r="Z168" s="14"/>
      <c r="AA168" s="19"/>
      <c r="AB168" s="24"/>
      <c r="AC168" s="303">
        <v>12</v>
      </c>
      <c r="AD168" s="302">
        <v>10</v>
      </c>
      <c r="AE168" s="400">
        <f t="shared" si="86"/>
        <v>0</v>
      </c>
      <c r="AF168" s="279">
        <f t="shared" si="87"/>
        <v>0</v>
      </c>
      <c r="AG168" s="279">
        <f t="shared" si="88"/>
        <v>0</v>
      </c>
      <c r="AH168" s="418">
        <f t="shared" si="89"/>
        <v>0</v>
      </c>
      <c r="AI168" s="296">
        <f>IF(Simulador!$T$67=1,'Tabla de amortizacion'!AJ168,'Tabla de amortizacion'!AR168)</f>
        <v>0.09</v>
      </c>
      <c r="AJ168" s="297">
        <f t="shared" si="101"/>
        <v>0.09</v>
      </c>
      <c r="AK168" s="298">
        <f t="shared" si="90"/>
        <v>0</v>
      </c>
      <c r="AL168" s="298"/>
      <c r="AM168" s="304"/>
      <c r="AN168" s="520">
        <f t="shared" si="77"/>
        <v>0.092</v>
      </c>
      <c r="AO168" s="520">
        <f t="shared" si="77"/>
        <v>0.092</v>
      </c>
      <c r="AP168" s="299">
        <v>0</v>
      </c>
      <c r="AQ168" s="414">
        <f t="shared" si="91"/>
        <v>0</v>
      </c>
      <c r="AR168" s="300">
        <f>IF(AND(Simulador!$T$67=2,Simulador!$T$61=1),AL168,IF(AND(Simulador!$T$67=2,Simulador!$T$61=2),AM168,IF(AND(Simulador!$T$67=2,Simulador!$T$61=3),AN168,AO168)))</f>
        <v>0.092</v>
      </c>
      <c r="AS168" s="281"/>
      <c r="AT168" s="70">
        <f t="shared" si="100"/>
        <v>0</v>
      </c>
      <c r="AU168" s="70">
        <f t="shared" si="92"/>
        <v>0</v>
      </c>
      <c r="AV168" s="71">
        <f t="shared" si="81"/>
        <v>0</v>
      </c>
      <c r="AW168" s="70">
        <f t="shared" si="82"/>
        <v>0</v>
      </c>
      <c r="AX168" s="70">
        <f t="shared" si="93"/>
        <v>0</v>
      </c>
      <c r="AY168" s="72">
        <f t="shared" si="83"/>
      </c>
      <c r="AZ168" s="70">
        <f>_xlfn.IFERROR(IF(Simulador!$U$29=1,0,IF($AT168&lt;=0.01,0,$AT168*Simulador!$AA$42)),0)+_xlfn.IFERROR(IF(Simulador!$U$29=1,0,IF($AT168&lt;=0.01,0,IF(Simulador!$D$22&gt;0,Simulador!$D$22,Simulador!$O$24)*Simulador!$AA$43)),0)</f>
        <v>0</v>
      </c>
      <c r="BA168" s="73"/>
      <c r="BB168" s="70">
        <f t="shared" si="84"/>
        <v>0</v>
      </c>
      <c r="BC168">
        <f t="shared" si="94"/>
        <v>0</v>
      </c>
      <c r="BD168" s="431">
        <f t="shared" si="95"/>
      </c>
      <c r="BE168" s="432">
        <f t="shared" si="96"/>
        <v>0</v>
      </c>
      <c r="BF168" s="69">
        <v>154</v>
      </c>
      <c r="BG168" s="38"/>
      <c r="BJ168" s="69"/>
      <c r="BM168" s="432"/>
    </row>
    <row r="169" spans="1:65" ht="12">
      <c r="A169" s="531">
        <v>155</v>
      </c>
      <c r="B169" s="106">
        <f t="shared" si="97"/>
        <v>0</v>
      </c>
      <c r="C169" s="106"/>
      <c r="D169" s="107">
        <f>IF(B169+F169-D168&lt;=0,B169+F169,IF(AND(OR(Simulador!$U$38=2,Simulador!$U$38=7),J168=0),D168*(1+AA169),IF($AE$3=2,B169*AQ169,D168*(1+AA169))))</f>
        <v>0</v>
      </c>
      <c r="E169" s="107"/>
      <c r="F169" s="107">
        <f t="shared" si="78"/>
        <v>0</v>
      </c>
      <c r="G169" s="107"/>
      <c r="H169" s="107">
        <f t="shared" si="98"/>
        <v>0</v>
      </c>
      <c r="I169" s="108"/>
      <c r="J169" s="109"/>
      <c r="K169" s="108"/>
      <c r="L169" s="107">
        <f>IF(Simulador!$T$40=1,0,J169*Simulador!$W$38*1.16)</f>
        <v>0</v>
      </c>
      <c r="M169" s="107"/>
      <c r="N169" s="111"/>
      <c r="O169" s="13"/>
      <c r="P169" s="664">
        <f t="shared" si="79"/>
      </c>
      <c r="Q169" s="3"/>
      <c r="R169" s="107">
        <f t="shared" si="85"/>
        <v>0</v>
      </c>
      <c r="S169" s="107"/>
      <c r="T169" s="107">
        <f>_xlfn.IFERROR(IF(Simulador!$U$29=1,0,IF($B169&lt;=0,0,$B169*Simulador!$AA$42)),0)</f>
        <v>0</v>
      </c>
      <c r="U169" s="107"/>
      <c r="V169" s="107">
        <f>_xlfn.IFERROR(IF(Simulador!$U$29=1,0,IF($B169&lt;=0,0,IF(Simulador!$D$22&gt;0,Simulador!$D$22,Simulador!$O$24)*Simulador!$AA$43)),0)</f>
        <v>0</v>
      </c>
      <c r="W169" s="107"/>
      <c r="X169" s="107"/>
      <c r="Y169" s="107">
        <f t="shared" si="80"/>
        <v>0</v>
      </c>
      <c r="Z169" s="14"/>
      <c r="AA169" s="19"/>
      <c r="AB169" s="24"/>
      <c r="AC169" s="303">
        <v>12</v>
      </c>
      <c r="AD169" s="295">
        <v>11</v>
      </c>
      <c r="AE169" s="400">
        <f t="shared" si="86"/>
        <v>0</v>
      </c>
      <c r="AF169" s="279">
        <f t="shared" si="87"/>
        <v>0</v>
      </c>
      <c r="AG169" s="279">
        <f t="shared" si="88"/>
        <v>0</v>
      </c>
      <c r="AH169" s="418">
        <f t="shared" si="89"/>
        <v>0</v>
      </c>
      <c r="AI169" s="296">
        <f>IF(Simulador!$T$67=1,'Tabla de amortizacion'!AJ169,'Tabla de amortizacion'!AR169)</f>
        <v>0.09</v>
      </c>
      <c r="AJ169" s="297">
        <f t="shared" si="101"/>
        <v>0.09</v>
      </c>
      <c r="AK169" s="298">
        <f t="shared" si="90"/>
        <v>0</v>
      </c>
      <c r="AL169" s="298"/>
      <c r="AM169" s="304"/>
      <c r="AN169" s="520">
        <f t="shared" si="77"/>
        <v>0.092</v>
      </c>
      <c r="AO169" s="520">
        <f t="shared" si="77"/>
        <v>0.092</v>
      </c>
      <c r="AP169" s="299">
        <v>0</v>
      </c>
      <c r="AQ169" s="414">
        <f t="shared" si="91"/>
        <v>0</v>
      </c>
      <c r="AR169" s="300">
        <f>IF(AND(Simulador!$T$67=2,Simulador!$T$61=1),AL169,IF(AND(Simulador!$T$67=2,Simulador!$T$61=2),AM169,IF(AND(Simulador!$T$67=2,Simulador!$T$61=3),AN169,AO169)))</f>
        <v>0.092</v>
      </c>
      <c r="AS169" s="281"/>
      <c r="AT169" s="70">
        <f t="shared" si="100"/>
        <v>0</v>
      </c>
      <c r="AU169" s="70">
        <f t="shared" si="92"/>
        <v>0</v>
      </c>
      <c r="AV169" s="71">
        <f t="shared" si="81"/>
        <v>0</v>
      </c>
      <c r="AW169" s="70">
        <f t="shared" si="82"/>
        <v>0</v>
      </c>
      <c r="AX169" s="70">
        <f t="shared" si="93"/>
        <v>0</v>
      </c>
      <c r="AY169" s="72">
        <f t="shared" si="83"/>
      </c>
      <c r="AZ169" s="70">
        <f>_xlfn.IFERROR(IF(Simulador!$U$29=1,0,IF($AT169&lt;=0.01,0,$AT169*Simulador!$AA$42)),0)+_xlfn.IFERROR(IF(Simulador!$U$29=1,0,IF($AT169&lt;=0.01,0,IF(Simulador!$D$22&gt;0,Simulador!$D$22,Simulador!$O$24)*Simulador!$AA$43)),0)</f>
        <v>0</v>
      </c>
      <c r="BA169" s="73"/>
      <c r="BB169" s="70">
        <f t="shared" si="84"/>
        <v>0</v>
      </c>
      <c r="BC169">
        <f t="shared" si="94"/>
        <v>0</v>
      </c>
      <c r="BD169" s="431">
        <f t="shared" si="95"/>
      </c>
      <c r="BE169" s="432">
        <f t="shared" si="96"/>
        <v>0</v>
      </c>
      <c r="BF169" s="69">
        <v>155</v>
      </c>
      <c r="BG169" s="38"/>
      <c r="BJ169" s="69"/>
      <c r="BM169" s="432"/>
    </row>
    <row r="170" spans="1:65" ht="12">
      <c r="A170" s="531">
        <v>156</v>
      </c>
      <c r="B170" s="106">
        <f t="shared" si="97"/>
        <v>0</v>
      </c>
      <c r="C170" s="106"/>
      <c r="D170" s="107">
        <f>IF(B170+F170-D169&lt;=0,B170+F170,IF(AND(OR(Simulador!$U$38=2,Simulador!$U$38=7),J169=0),D169*(1+AA170),IF($AE$3=2,B170*AQ170,D169*(1+AA170))))</f>
        <v>0</v>
      </c>
      <c r="E170" s="107"/>
      <c r="F170" s="107">
        <f t="shared" si="78"/>
        <v>0</v>
      </c>
      <c r="G170" s="107"/>
      <c r="H170" s="107">
        <f t="shared" si="98"/>
        <v>0</v>
      </c>
      <c r="I170" s="108"/>
      <c r="J170" s="109"/>
      <c r="K170" s="108"/>
      <c r="L170" s="107">
        <f>IF(Simulador!$T$40=1,0,J170*Simulador!$W$38*1.16)</f>
        <v>0</v>
      </c>
      <c r="M170" s="107"/>
      <c r="N170" s="110">
        <f>IF(B170-H170=0,0,N168)</f>
        <v>0</v>
      </c>
      <c r="O170" s="13"/>
      <c r="P170" s="664">
        <f t="shared" si="79"/>
      </c>
      <c r="Q170" s="3"/>
      <c r="R170" s="107">
        <f t="shared" si="85"/>
        <v>0</v>
      </c>
      <c r="S170" s="107"/>
      <c r="T170" s="107">
        <f>_xlfn.IFERROR(IF(Simulador!$U$29=1,0,IF($B170&lt;=0,0,$B170*Simulador!$AA$42)),0)</f>
        <v>0</v>
      </c>
      <c r="U170" s="107"/>
      <c r="V170" s="107">
        <f>_xlfn.IFERROR(IF(Simulador!$U$29=1,0,IF($B170&lt;=0,0,IF(Simulador!$D$22&gt;0,Simulador!$D$22,Simulador!$O$24)*Simulador!$AA$43)),0)</f>
        <v>0</v>
      </c>
      <c r="W170" s="107"/>
      <c r="X170" s="107"/>
      <c r="Y170" s="107">
        <f t="shared" si="80"/>
        <v>0</v>
      </c>
      <c r="Z170" s="14"/>
      <c r="AA170" s="19"/>
      <c r="AB170" s="24"/>
      <c r="AC170" s="303">
        <v>13</v>
      </c>
      <c r="AD170" s="295">
        <v>0</v>
      </c>
      <c r="AE170" s="400">
        <f t="shared" si="86"/>
        <v>0</v>
      </c>
      <c r="AF170" s="279">
        <f t="shared" si="87"/>
        <v>0</v>
      </c>
      <c r="AG170" s="279">
        <f t="shared" si="88"/>
        <v>0</v>
      </c>
      <c r="AH170" s="418">
        <f t="shared" si="89"/>
        <v>0</v>
      </c>
      <c r="AI170" s="296">
        <f>IF(Simulador!$T$67=1,'Tabla de amortizacion'!AJ170,'Tabla de amortizacion'!AR170)</f>
        <v>0.09</v>
      </c>
      <c r="AJ170" s="297">
        <f t="shared" si="101"/>
        <v>0.09</v>
      </c>
      <c r="AK170" s="298">
        <f t="shared" si="90"/>
        <v>0</v>
      </c>
      <c r="AL170" s="298"/>
      <c r="AM170" s="304"/>
      <c r="AN170" s="520">
        <f t="shared" si="77"/>
        <v>0.092</v>
      </c>
      <c r="AO170" s="520">
        <f t="shared" si="77"/>
        <v>0.092</v>
      </c>
      <c r="AP170" s="299">
        <v>0</v>
      </c>
      <c r="AQ170" s="414">
        <f t="shared" si="91"/>
        <v>0</v>
      </c>
      <c r="AR170" s="300">
        <f>IF(AND(Simulador!$T$67=2,Simulador!$T$61=1),AL170,IF(AND(Simulador!$T$67=2,Simulador!$T$61=2),AM170,IF(AND(Simulador!$T$67=2,Simulador!$T$61=3),AN170,AO170)))</f>
        <v>0.092</v>
      </c>
      <c r="AS170" s="281"/>
      <c r="AT170" s="70">
        <f t="shared" si="100"/>
        <v>0</v>
      </c>
      <c r="AU170" s="70">
        <f t="shared" si="92"/>
        <v>0</v>
      </c>
      <c r="AV170" s="71">
        <f t="shared" si="81"/>
        <v>0</v>
      </c>
      <c r="AW170" s="70">
        <f t="shared" si="82"/>
        <v>0</v>
      </c>
      <c r="AX170" s="70">
        <f t="shared" si="93"/>
        <v>0</v>
      </c>
      <c r="AY170" s="72">
        <f t="shared" si="83"/>
      </c>
      <c r="AZ170" s="70">
        <f>_xlfn.IFERROR(IF(Simulador!$U$29=1,0,IF($AT170&lt;=0.01,0,$AT170*Simulador!$AA$42)),0)+_xlfn.IFERROR(IF(Simulador!$U$29=1,0,IF($AT170&lt;=0.01,0,IF(Simulador!$D$22&gt;0,Simulador!$D$22,Simulador!$O$24)*Simulador!$AA$43)),0)</f>
        <v>0</v>
      </c>
      <c r="BA170" s="73"/>
      <c r="BB170" s="70">
        <f t="shared" si="84"/>
        <v>0</v>
      </c>
      <c r="BC170">
        <f t="shared" si="94"/>
        <v>0</v>
      </c>
      <c r="BD170" s="431">
        <f t="shared" si="95"/>
      </c>
      <c r="BE170" s="432">
        <f t="shared" si="96"/>
        <v>0</v>
      </c>
      <c r="BF170" s="69">
        <v>156</v>
      </c>
      <c r="BG170" s="38"/>
      <c r="BJ170" s="69"/>
      <c r="BM170" s="432"/>
    </row>
    <row r="171" spans="1:65" ht="12">
      <c r="A171" s="531">
        <v>157</v>
      </c>
      <c r="B171" s="106">
        <f t="shared" si="97"/>
        <v>0</v>
      </c>
      <c r="C171" s="106"/>
      <c r="D171" s="107">
        <f>IF(B171+F171-D170&lt;=0,B171+F171,IF(AND(OR(Simulador!$U$38=2,Simulador!$U$38=7),J170=0),D170*(1+AA171),IF($AE$3=2,B171*AQ171,D170*(1+AA171))))</f>
        <v>0</v>
      </c>
      <c r="E171" s="107"/>
      <c r="F171" s="107">
        <f t="shared" si="78"/>
        <v>0</v>
      </c>
      <c r="G171" s="107"/>
      <c r="H171" s="107">
        <f t="shared" si="98"/>
        <v>0</v>
      </c>
      <c r="I171" s="108"/>
      <c r="J171" s="109"/>
      <c r="K171" s="108"/>
      <c r="L171" s="107">
        <f>IF(Simulador!$T$40=1,0,J171*Simulador!$W$38*1.16)</f>
        <v>0</v>
      </c>
      <c r="M171" s="107"/>
      <c r="N171" s="111"/>
      <c r="O171" s="13"/>
      <c r="P171" s="664">
        <f t="shared" si="79"/>
      </c>
      <c r="Q171" s="3"/>
      <c r="R171" s="107">
        <f t="shared" si="85"/>
        <v>0</v>
      </c>
      <c r="S171" s="107"/>
      <c r="T171" s="107">
        <f>_xlfn.IFERROR(IF(Simulador!$U$29=1,0,IF($B171&lt;=0,0,$B171*Simulador!$AA$42)),0)</f>
        <v>0</v>
      </c>
      <c r="U171" s="107"/>
      <c r="V171" s="107">
        <f>_xlfn.IFERROR(IF(Simulador!$U$29=1,0,IF($B171&lt;=0,0,IF(Simulador!$D$22&gt;0,Simulador!$D$22,Simulador!$O$24)*Simulador!$AA$43)),0)</f>
        <v>0</v>
      </c>
      <c r="W171" s="107"/>
      <c r="X171" s="107"/>
      <c r="Y171" s="107">
        <f t="shared" si="80"/>
        <v>0</v>
      </c>
      <c r="Z171" s="14"/>
      <c r="AA171" s="19">
        <f>IF(B171&lt;=0,0,Simulador!$I$42)</f>
        <v>0</v>
      </c>
      <c r="AB171" s="24"/>
      <c r="AC171" s="303">
        <v>13</v>
      </c>
      <c r="AD171" s="295">
        <v>1</v>
      </c>
      <c r="AE171" s="400">
        <f t="shared" si="86"/>
        <v>0</v>
      </c>
      <c r="AF171" s="279">
        <f t="shared" si="87"/>
        <v>0</v>
      </c>
      <c r="AG171" s="279">
        <f t="shared" si="88"/>
        <v>0</v>
      </c>
      <c r="AH171" s="418">
        <f t="shared" si="89"/>
        <v>0</v>
      </c>
      <c r="AI171" s="296">
        <f>IF(Simulador!$T$67=1,'Tabla de amortizacion'!AJ171,'Tabla de amortizacion'!AR171)</f>
        <v>0.09</v>
      </c>
      <c r="AJ171" s="297">
        <f>IF(AJ170=$AM$4,AJ170,IF(AJ170-0.25%&lt;=$AM$4,$AM$4,AJ170-0.25%))</f>
        <v>0.09</v>
      </c>
      <c r="AK171" s="298">
        <f t="shared" si="90"/>
        <v>0</v>
      </c>
      <c r="AL171" s="298"/>
      <c r="AM171" s="304"/>
      <c r="AN171" s="520">
        <f t="shared" si="77"/>
        <v>0.092</v>
      </c>
      <c r="AO171" s="520">
        <f t="shared" si="77"/>
        <v>0.092</v>
      </c>
      <c r="AP171" s="299">
        <v>0</v>
      </c>
      <c r="AQ171" s="414">
        <f t="shared" si="91"/>
        <v>0</v>
      </c>
      <c r="AR171" s="300">
        <f>IF(AND(Simulador!$T$67=2,Simulador!$T$61=1),AL171,IF(AND(Simulador!$T$67=2,Simulador!$T$61=2),AM171,IF(AND(Simulador!$T$67=2,Simulador!$T$61=3),AN171,AO171)))</f>
        <v>0.092</v>
      </c>
      <c r="AS171" s="281"/>
      <c r="AT171" s="70">
        <f t="shared" si="100"/>
        <v>0</v>
      </c>
      <c r="AU171" s="70">
        <f t="shared" si="92"/>
        <v>0</v>
      </c>
      <c r="AV171" s="71">
        <f t="shared" si="81"/>
        <v>0</v>
      </c>
      <c r="AW171" s="70">
        <f t="shared" si="82"/>
        <v>0</v>
      </c>
      <c r="AX171" s="70">
        <f t="shared" si="93"/>
        <v>0</v>
      </c>
      <c r="AY171" s="72">
        <f t="shared" si="83"/>
      </c>
      <c r="AZ171" s="70">
        <f>_xlfn.IFERROR(IF(Simulador!$U$29=1,0,IF($AT171&lt;=0.01,0,$AT171*Simulador!$AA$42)),0)+_xlfn.IFERROR(IF(Simulador!$U$29=1,0,IF($AT171&lt;=0.01,0,IF(Simulador!$D$22&gt;0,Simulador!$D$22,Simulador!$O$24)*Simulador!$AA$43)),0)</f>
        <v>0</v>
      </c>
      <c r="BA171" s="73">
        <f>IF(AT171&lt;=0,0,$BA$27)</f>
        <v>0</v>
      </c>
      <c r="BB171" s="70">
        <f t="shared" si="84"/>
        <v>0</v>
      </c>
      <c r="BC171">
        <f t="shared" si="94"/>
        <v>0</v>
      </c>
      <c r="BD171" s="431">
        <f t="shared" si="95"/>
      </c>
      <c r="BE171" s="432">
        <f t="shared" si="96"/>
        <v>0</v>
      </c>
      <c r="BF171" s="69">
        <v>157</v>
      </c>
      <c r="BG171" s="38"/>
      <c r="BJ171" s="69"/>
      <c r="BM171" s="432"/>
    </row>
    <row r="172" spans="1:65" ht="12">
      <c r="A172" s="531">
        <v>158</v>
      </c>
      <c r="B172" s="106">
        <f t="shared" si="97"/>
        <v>0</v>
      </c>
      <c r="C172" s="106"/>
      <c r="D172" s="107">
        <f>IF(B172+F172-D171&lt;=0,B172+F172,IF(AND(OR(Simulador!$U$38=2,Simulador!$U$38=7),J171=0),D171*(1+AA172),IF($AE$3=2,B172*AQ172,D171*(1+AA172))))</f>
        <v>0</v>
      </c>
      <c r="E172" s="107"/>
      <c r="F172" s="107">
        <f t="shared" si="78"/>
        <v>0</v>
      </c>
      <c r="G172" s="107"/>
      <c r="H172" s="107">
        <f t="shared" si="98"/>
        <v>0</v>
      </c>
      <c r="I172" s="108"/>
      <c r="J172" s="109"/>
      <c r="K172" s="108"/>
      <c r="L172" s="107">
        <f>IF(Simulador!$T$40=1,0,J172*Simulador!$W$38*1.16)</f>
        <v>0</v>
      </c>
      <c r="M172" s="107"/>
      <c r="N172" s="110">
        <f>IF(B172-H172=0,0,N170*(1+(Simulador!$AF$76)))</f>
        <v>0</v>
      </c>
      <c r="O172" s="13"/>
      <c r="P172" s="664">
        <f t="shared" si="79"/>
      </c>
      <c r="Q172" s="3"/>
      <c r="R172" s="107">
        <f t="shared" si="85"/>
        <v>0</v>
      </c>
      <c r="S172" s="107"/>
      <c r="T172" s="107">
        <f>_xlfn.IFERROR(IF(Simulador!$U$29=1,0,IF($B172&lt;=0,0,$B172*Simulador!$AA$42)),0)</f>
        <v>0</v>
      </c>
      <c r="U172" s="107"/>
      <c r="V172" s="107">
        <f>_xlfn.IFERROR(IF(Simulador!$U$29=1,0,IF($B172&lt;=0,0,IF(Simulador!$D$22&gt;0,Simulador!$D$22,Simulador!$O$24)*Simulador!$AA$43)),0)</f>
        <v>0</v>
      </c>
      <c r="W172" s="107"/>
      <c r="X172" s="107"/>
      <c r="Y172" s="107">
        <f t="shared" si="80"/>
        <v>0</v>
      </c>
      <c r="Z172" s="14"/>
      <c r="AA172" s="19"/>
      <c r="AB172" s="24"/>
      <c r="AC172" s="303">
        <v>13</v>
      </c>
      <c r="AD172" s="301">
        <v>2</v>
      </c>
      <c r="AE172" s="400">
        <f t="shared" si="86"/>
        <v>0</v>
      </c>
      <c r="AF172" s="279">
        <f t="shared" si="87"/>
        <v>0</v>
      </c>
      <c r="AG172" s="279">
        <f t="shared" si="88"/>
        <v>0</v>
      </c>
      <c r="AH172" s="418">
        <f t="shared" si="89"/>
        <v>0</v>
      </c>
      <c r="AI172" s="296">
        <f>IF(Simulador!$T$67=1,'Tabla de amortizacion'!AJ172,'Tabla de amortizacion'!AR172)</f>
        <v>0.09</v>
      </c>
      <c r="AJ172" s="297">
        <f>AJ171</f>
        <v>0.09</v>
      </c>
      <c r="AK172" s="298">
        <f t="shared" si="90"/>
        <v>0</v>
      </c>
      <c r="AL172" s="298"/>
      <c r="AM172" s="304"/>
      <c r="AN172" s="520">
        <f t="shared" si="77"/>
        <v>0.092</v>
      </c>
      <c r="AO172" s="520">
        <f t="shared" si="77"/>
        <v>0.092</v>
      </c>
      <c r="AP172" s="299">
        <v>0</v>
      </c>
      <c r="AQ172" s="414">
        <f t="shared" si="91"/>
        <v>0</v>
      </c>
      <c r="AR172" s="300">
        <f>IF(AND(Simulador!$T$67=2,Simulador!$T$61=1),AL172,IF(AND(Simulador!$T$67=2,Simulador!$T$61=2),AM172,IF(AND(Simulador!$T$67=2,Simulador!$T$61=3),AN172,AO172)))</f>
        <v>0.092</v>
      </c>
      <c r="AS172" s="281"/>
      <c r="AT172" s="70">
        <f t="shared" si="100"/>
        <v>0</v>
      </c>
      <c r="AU172" s="70">
        <f t="shared" si="92"/>
        <v>0</v>
      </c>
      <c r="AV172" s="71">
        <f t="shared" si="81"/>
        <v>0</v>
      </c>
      <c r="AW172" s="70">
        <f t="shared" si="82"/>
        <v>0</v>
      </c>
      <c r="AX172" s="70">
        <f t="shared" si="93"/>
        <v>0</v>
      </c>
      <c r="AY172" s="72">
        <f t="shared" si="83"/>
      </c>
      <c r="AZ172" s="70">
        <f>_xlfn.IFERROR(IF(Simulador!$U$29=1,0,IF($AT172&lt;=0.01,0,$AT172*Simulador!$AA$42)),0)+_xlfn.IFERROR(IF(Simulador!$U$29=1,0,IF($AT172&lt;=0.01,0,IF(Simulador!$D$22&gt;0,Simulador!$D$22,Simulador!$O$24)*Simulador!$AA$43)),0)</f>
        <v>0</v>
      </c>
      <c r="BA172" s="73"/>
      <c r="BB172" s="70">
        <f t="shared" si="84"/>
        <v>0</v>
      </c>
      <c r="BC172">
        <f t="shared" si="94"/>
        <v>0</v>
      </c>
      <c r="BD172" s="431">
        <f t="shared" si="95"/>
      </c>
      <c r="BE172" s="432">
        <f t="shared" si="96"/>
        <v>0</v>
      </c>
      <c r="BF172" s="69">
        <v>158</v>
      </c>
      <c r="BG172" s="38"/>
      <c r="BJ172" s="69"/>
      <c r="BM172" s="432"/>
    </row>
    <row r="173" spans="1:65" ht="12">
      <c r="A173" s="531">
        <v>159</v>
      </c>
      <c r="B173" s="106">
        <f t="shared" si="97"/>
        <v>0</v>
      </c>
      <c r="C173" s="106"/>
      <c r="D173" s="107">
        <f>IF(B173+F173-D172&lt;=0,B173+F173,IF(AND(OR(Simulador!$U$38=2,Simulador!$U$38=7),J172=0),D172*(1+AA173),IF($AE$3=2,B173*AQ173,D172*(1+AA173))))</f>
        <v>0</v>
      </c>
      <c r="E173" s="107"/>
      <c r="F173" s="107">
        <f t="shared" si="78"/>
        <v>0</v>
      </c>
      <c r="G173" s="107"/>
      <c r="H173" s="107">
        <f t="shared" si="98"/>
        <v>0</v>
      </c>
      <c r="I173" s="108"/>
      <c r="J173" s="109"/>
      <c r="K173" s="108"/>
      <c r="L173" s="107">
        <f>IF(Simulador!$T$40=1,0,J173*Simulador!$W$38*1.16)</f>
        <v>0</v>
      </c>
      <c r="M173" s="107"/>
      <c r="N173" s="111"/>
      <c r="O173" s="13"/>
      <c r="P173" s="664">
        <f t="shared" si="79"/>
      </c>
      <c r="Q173" s="3"/>
      <c r="R173" s="107">
        <f t="shared" si="85"/>
        <v>0</v>
      </c>
      <c r="S173" s="107"/>
      <c r="T173" s="107">
        <f>_xlfn.IFERROR(IF(Simulador!$U$29=1,0,IF($B173&lt;=0,0,$B173*Simulador!$AA$42)),0)</f>
        <v>0</v>
      </c>
      <c r="U173" s="107"/>
      <c r="V173" s="107">
        <f>_xlfn.IFERROR(IF(Simulador!$U$29=1,0,IF($B173&lt;=0,0,IF(Simulador!$D$22&gt;0,Simulador!$D$22,Simulador!$O$24)*Simulador!$AA$43)),0)</f>
        <v>0</v>
      </c>
      <c r="W173" s="107"/>
      <c r="X173" s="107"/>
      <c r="Y173" s="107">
        <f t="shared" si="80"/>
        <v>0</v>
      </c>
      <c r="Z173" s="14"/>
      <c r="AA173" s="19"/>
      <c r="AB173" s="24"/>
      <c r="AC173" s="303">
        <v>13</v>
      </c>
      <c r="AD173" s="301">
        <v>3</v>
      </c>
      <c r="AE173" s="400">
        <f t="shared" si="86"/>
        <v>0</v>
      </c>
      <c r="AF173" s="279">
        <f t="shared" si="87"/>
        <v>0</v>
      </c>
      <c r="AG173" s="279">
        <f t="shared" si="88"/>
        <v>0</v>
      </c>
      <c r="AH173" s="418">
        <f t="shared" si="89"/>
        <v>0</v>
      </c>
      <c r="AI173" s="296">
        <f>IF(Simulador!$T$67=1,'Tabla de amortizacion'!AJ173,'Tabla de amortizacion'!AR173)</f>
        <v>0.09</v>
      </c>
      <c r="AJ173" s="297">
        <f aca="true" t="shared" si="102" ref="AJ173:AJ182">AJ172</f>
        <v>0.09</v>
      </c>
      <c r="AK173" s="298">
        <f t="shared" si="90"/>
        <v>0</v>
      </c>
      <c r="AL173" s="298"/>
      <c r="AM173" s="304"/>
      <c r="AN173" s="520">
        <f t="shared" si="77"/>
        <v>0.092</v>
      </c>
      <c r="AO173" s="520">
        <f t="shared" si="77"/>
        <v>0.092</v>
      </c>
      <c r="AP173" s="299">
        <v>0</v>
      </c>
      <c r="AQ173" s="414">
        <f t="shared" si="91"/>
        <v>0</v>
      </c>
      <c r="AR173" s="300">
        <f>IF(AND(Simulador!$T$67=2,Simulador!$T$61=1),AL173,IF(AND(Simulador!$T$67=2,Simulador!$T$61=2),AM173,IF(AND(Simulador!$T$67=2,Simulador!$T$61=3),AN173,AO173)))</f>
        <v>0.092</v>
      </c>
      <c r="AS173" s="281"/>
      <c r="AT173" s="70">
        <f t="shared" si="100"/>
        <v>0</v>
      </c>
      <c r="AU173" s="70">
        <f t="shared" si="92"/>
        <v>0</v>
      </c>
      <c r="AV173" s="71">
        <f t="shared" si="81"/>
        <v>0</v>
      </c>
      <c r="AW173" s="70">
        <f t="shared" si="82"/>
        <v>0</v>
      </c>
      <c r="AX173" s="70">
        <f t="shared" si="93"/>
        <v>0</v>
      </c>
      <c r="AY173" s="72">
        <f t="shared" si="83"/>
      </c>
      <c r="AZ173" s="70">
        <f>_xlfn.IFERROR(IF(Simulador!$U$29=1,0,IF($AT173&lt;=0.01,0,$AT173*Simulador!$AA$42)),0)+_xlfn.IFERROR(IF(Simulador!$U$29=1,0,IF($AT173&lt;=0.01,0,IF(Simulador!$D$22&gt;0,Simulador!$D$22,Simulador!$O$24)*Simulador!$AA$43)),0)</f>
        <v>0</v>
      </c>
      <c r="BA173" s="73"/>
      <c r="BB173" s="70">
        <f t="shared" si="84"/>
        <v>0</v>
      </c>
      <c r="BC173">
        <f t="shared" si="94"/>
        <v>0</v>
      </c>
      <c r="BD173" s="431">
        <f t="shared" si="95"/>
      </c>
      <c r="BE173" s="432">
        <f t="shared" si="96"/>
        <v>0</v>
      </c>
      <c r="BF173" s="69">
        <v>159</v>
      </c>
      <c r="BG173" s="38"/>
      <c r="BJ173" s="69"/>
      <c r="BM173" s="432"/>
    </row>
    <row r="174" spans="1:65" ht="12">
      <c r="A174" s="531">
        <v>160</v>
      </c>
      <c r="B174" s="106">
        <f t="shared" si="97"/>
        <v>0</v>
      </c>
      <c r="C174" s="106"/>
      <c r="D174" s="107">
        <f>IF(B174+F174-D173&lt;=0,B174+F174,IF(AND(OR(Simulador!$U$38=2,Simulador!$U$38=7),J173=0),D173*(1+AA174),IF($AE$3=2,B174*AQ174,D173*(1+AA174))))</f>
        <v>0</v>
      </c>
      <c r="E174" s="107"/>
      <c r="F174" s="107">
        <f t="shared" si="78"/>
        <v>0</v>
      </c>
      <c r="G174" s="107"/>
      <c r="H174" s="107">
        <f t="shared" si="98"/>
        <v>0</v>
      </c>
      <c r="I174" s="108"/>
      <c r="J174" s="109"/>
      <c r="K174" s="108"/>
      <c r="L174" s="107">
        <f>IF(Simulador!$T$40=1,0,J174*Simulador!$W$38*1.16)</f>
        <v>0</v>
      </c>
      <c r="M174" s="107"/>
      <c r="N174" s="110">
        <f>IF(B174-H174=0,0,N172)</f>
        <v>0</v>
      </c>
      <c r="O174" s="13"/>
      <c r="P174" s="664">
        <f t="shared" si="79"/>
      </c>
      <c r="Q174" s="3"/>
      <c r="R174" s="107">
        <f t="shared" si="85"/>
        <v>0</v>
      </c>
      <c r="S174" s="107"/>
      <c r="T174" s="107">
        <f>_xlfn.IFERROR(IF(Simulador!$U$29=1,0,IF($B174&lt;=0,0,$B174*Simulador!$AA$42)),0)</f>
        <v>0</v>
      </c>
      <c r="U174" s="107"/>
      <c r="V174" s="107">
        <f>_xlfn.IFERROR(IF(Simulador!$U$29=1,0,IF($B174&lt;=0,0,IF(Simulador!$D$22&gt;0,Simulador!$D$22,Simulador!$O$24)*Simulador!$AA$43)),0)</f>
        <v>0</v>
      </c>
      <c r="W174" s="107"/>
      <c r="X174" s="107"/>
      <c r="Y174" s="107">
        <f t="shared" si="80"/>
        <v>0</v>
      </c>
      <c r="Z174" s="14"/>
      <c r="AA174" s="19"/>
      <c r="AB174" s="24"/>
      <c r="AC174" s="303">
        <v>13</v>
      </c>
      <c r="AD174" s="295">
        <v>4</v>
      </c>
      <c r="AE174" s="400">
        <f t="shared" si="86"/>
        <v>0</v>
      </c>
      <c r="AF174" s="279">
        <f t="shared" si="87"/>
        <v>0</v>
      </c>
      <c r="AG174" s="279">
        <f t="shared" si="88"/>
        <v>0</v>
      </c>
      <c r="AH174" s="418">
        <f t="shared" si="89"/>
        <v>0</v>
      </c>
      <c r="AI174" s="296">
        <f>IF(Simulador!$T$67=1,'Tabla de amortizacion'!AJ174,'Tabla de amortizacion'!AR174)</f>
        <v>0.09</v>
      </c>
      <c r="AJ174" s="297">
        <f t="shared" si="102"/>
        <v>0.09</v>
      </c>
      <c r="AK174" s="298">
        <f t="shared" si="90"/>
        <v>0</v>
      </c>
      <c r="AL174" s="298"/>
      <c r="AM174" s="304"/>
      <c r="AN174" s="520">
        <f t="shared" si="77"/>
        <v>0.092</v>
      </c>
      <c r="AO174" s="520">
        <f t="shared" si="77"/>
        <v>0.092</v>
      </c>
      <c r="AP174" s="299">
        <v>0</v>
      </c>
      <c r="AQ174" s="414">
        <f t="shared" si="91"/>
        <v>0</v>
      </c>
      <c r="AR174" s="300">
        <f>IF(AND(Simulador!$T$67=2,Simulador!$T$61=1),AL174,IF(AND(Simulador!$T$67=2,Simulador!$T$61=2),AM174,IF(AND(Simulador!$T$67=2,Simulador!$T$61=3),AN174,AO174)))</f>
        <v>0.092</v>
      </c>
      <c r="AS174" s="281"/>
      <c r="AT174" s="70">
        <f t="shared" si="100"/>
        <v>0</v>
      </c>
      <c r="AU174" s="70">
        <f t="shared" si="92"/>
        <v>0</v>
      </c>
      <c r="AV174" s="71">
        <f t="shared" si="81"/>
        <v>0</v>
      </c>
      <c r="AW174" s="70">
        <f t="shared" si="82"/>
        <v>0</v>
      </c>
      <c r="AX174" s="70">
        <f t="shared" si="93"/>
        <v>0</v>
      </c>
      <c r="AY174" s="72">
        <f t="shared" si="83"/>
      </c>
      <c r="AZ174" s="70">
        <f>_xlfn.IFERROR(IF(Simulador!$U$29=1,0,IF($AT174&lt;=0.01,0,$AT174*Simulador!$AA$42)),0)+_xlfn.IFERROR(IF(Simulador!$U$29=1,0,IF($AT174&lt;=0.01,0,IF(Simulador!$D$22&gt;0,Simulador!$D$22,Simulador!$O$24)*Simulador!$AA$43)),0)</f>
        <v>0</v>
      </c>
      <c r="BA174" s="73"/>
      <c r="BB174" s="70">
        <f t="shared" si="84"/>
        <v>0</v>
      </c>
      <c r="BC174">
        <f t="shared" si="94"/>
        <v>0</v>
      </c>
      <c r="BD174" s="431">
        <f t="shared" si="95"/>
      </c>
      <c r="BE174" s="432">
        <f t="shared" si="96"/>
        <v>0</v>
      </c>
      <c r="BF174" s="69">
        <v>160</v>
      </c>
      <c r="BG174" s="38"/>
      <c r="BJ174" s="69"/>
      <c r="BM174" s="432"/>
    </row>
    <row r="175" spans="1:65" ht="12">
      <c r="A175" s="531">
        <v>161</v>
      </c>
      <c r="B175" s="106">
        <f t="shared" si="97"/>
        <v>0</v>
      </c>
      <c r="C175" s="106"/>
      <c r="D175" s="107">
        <f>IF(B175+F175-D174&lt;=0,B175+F175,IF(AND(OR(Simulador!$U$38=2,Simulador!$U$38=7),J174=0),D174*(1+AA175),IF($AE$3=2,B175*AQ175,D174*(1+AA175))))</f>
        <v>0</v>
      </c>
      <c r="E175" s="107"/>
      <c r="F175" s="107">
        <f t="shared" si="78"/>
        <v>0</v>
      </c>
      <c r="G175" s="107"/>
      <c r="H175" s="107">
        <f t="shared" si="98"/>
        <v>0</v>
      </c>
      <c r="I175" s="108"/>
      <c r="J175" s="109"/>
      <c r="K175" s="108"/>
      <c r="L175" s="107">
        <f>IF(Simulador!$T$40=1,0,J175*Simulador!$W$38*1.16)</f>
        <v>0</v>
      </c>
      <c r="M175" s="107"/>
      <c r="N175" s="111"/>
      <c r="O175" s="13"/>
      <c r="P175" s="664">
        <f t="shared" si="79"/>
      </c>
      <c r="Q175" s="3"/>
      <c r="R175" s="107">
        <f t="shared" si="85"/>
        <v>0</v>
      </c>
      <c r="S175" s="107"/>
      <c r="T175" s="107">
        <f>_xlfn.IFERROR(IF(Simulador!$U$29=1,0,IF($B175&lt;=0,0,$B175*Simulador!$AA$42)),0)</f>
        <v>0</v>
      </c>
      <c r="U175" s="107"/>
      <c r="V175" s="107">
        <f>_xlfn.IFERROR(IF(Simulador!$U$29=1,0,IF($B175&lt;=0,0,IF(Simulador!$D$22&gt;0,Simulador!$D$22,Simulador!$O$24)*Simulador!$AA$43)),0)</f>
        <v>0</v>
      </c>
      <c r="W175" s="107"/>
      <c r="X175" s="107"/>
      <c r="Y175" s="107">
        <f t="shared" si="80"/>
        <v>0</v>
      </c>
      <c r="Z175" s="14"/>
      <c r="AA175" s="19"/>
      <c r="AB175" s="24"/>
      <c r="AC175" s="303">
        <v>13</v>
      </c>
      <c r="AD175" s="295">
        <v>5</v>
      </c>
      <c r="AE175" s="400">
        <f t="shared" si="86"/>
        <v>0</v>
      </c>
      <c r="AF175" s="279">
        <f t="shared" si="87"/>
        <v>0</v>
      </c>
      <c r="AG175" s="279">
        <f t="shared" si="88"/>
        <v>0</v>
      </c>
      <c r="AH175" s="418">
        <f t="shared" si="89"/>
        <v>0</v>
      </c>
      <c r="AI175" s="296">
        <f>IF(Simulador!$T$67=1,'Tabla de amortizacion'!AJ175,'Tabla de amortizacion'!AR175)</f>
        <v>0.09</v>
      </c>
      <c r="AJ175" s="297">
        <f t="shared" si="102"/>
        <v>0.09</v>
      </c>
      <c r="AK175" s="298">
        <f t="shared" si="90"/>
        <v>0</v>
      </c>
      <c r="AL175" s="298"/>
      <c r="AM175" s="304"/>
      <c r="AN175" s="520">
        <f t="shared" si="77"/>
        <v>0.092</v>
      </c>
      <c r="AO175" s="520">
        <f t="shared" si="77"/>
        <v>0.092</v>
      </c>
      <c r="AP175" s="299">
        <v>0</v>
      </c>
      <c r="AQ175" s="414">
        <f t="shared" si="91"/>
        <v>0</v>
      </c>
      <c r="AR175" s="300">
        <f>IF(AND(Simulador!$T$67=2,Simulador!$T$61=1),AL175,IF(AND(Simulador!$T$67=2,Simulador!$T$61=2),AM175,IF(AND(Simulador!$T$67=2,Simulador!$T$61=3),AN175,AO175)))</f>
        <v>0.092</v>
      </c>
      <c r="AS175" s="281"/>
      <c r="AT175" s="70">
        <f t="shared" si="100"/>
        <v>0</v>
      </c>
      <c r="AU175" s="70">
        <f t="shared" si="92"/>
        <v>0</v>
      </c>
      <c r="AV175" s="71">
        <f t="shared" si="81"/>
        <v>0</v>
      </c>
      <c r="AW175" s="70">
        <f t="shared" si="82"/>
        <v>0</v>
      </c>
      <c r="AX175" s="70">
        <f t="shared" si="93"/>
        <v>0</v>
      </c>
      <c r="AY175" s="72">
        <f t="shared" si="83"/>
      </c>
      <c r="AZ175" s="70">
        <f>_xlfn.IFERROR(IF(Simulador!$U$29=1,0,IF($AT175&lt;=0.01,0,$AT175*Simulador!$AA$42)),0)+_xlfn.IFERROR(IF(Simulador!$U$29=1,0,IF($AT175&lt;=0.01,0,IF(Simulador!$D$22&gt;0,Simulador!$D$22,Simulador!$O$24)*Simulador!$AA$43)),0)</f>
        <v>0</v>
      </c>
      <c r="BA175" s="73"/>
      <c r="BB175" s="70">
        <f t="shared" si="84"/>
        <v>0</v>
      </c>
      <c r="BC175">
        <f t="shared" si="94"/>
        <v>0</v>
      </c>
      <c r="BD175" s="431">
        <f t="shared" si="95"/>
      </c>
      <c r="BE175" s="432">
        <f t="shared" si="96"/>
        <v>0</v>
      </c>
      <c r="BF175" s="69">
        <v>161</v>
      </c>
      <c r="BG175" s="38"/>
      <c r="BJ175" s="69"/>
      <c r="BM175" s="432"/>
    </row>
    <row r="176" spans="1:65" ht="12">
      <c r="A176" s="531">
        <v>162</v>
      </c>
      <c r="B176" s="106">
        <f t="shared" si="97"/>
        <v>0</v>
      </c>
      <c r="C176" s="106"/>
      <c r="D176" s="107">
        <f>IF(B176+F176-D175&lt;=0,B176+F176,IF(AND(OR(Simulador!$U$38=2,Simulador!$U$38=7),J175=0),D175*(1+AA176),IF($AE$3=2,B176*AQ176,D175*(1+AA176))))</f>
        <v>0</v>
      </c>
      <c r="E176" s="107"/>
      <c r="F176" s="107">
        <f t="shared" si="78"/>
        <v>0</v>
      </c>
      <c r="G176" s="107"/>
      <c r="H176" s="107">
        <f t="shared" si="98"/>
        <v>0</v>
      </c>
      <c r="I176" s="108"/>
      <c r="J176" s="109"/>
      <c r="K176" s="108"/>
      <c r="L176" s="107">
        <f>IF(Simulador!$T$40=1,0,J176*Simulador!$W$38*1.16)</f>
        <v>0</v>
      </c>
      <c r="M176" s="107"/>
      <c r="N176" s="110">
        <f>IF(B176-H176=0,0,N174)</f>
        <v>0</v>
      </c>
      <c r="O176" s="13"/>
      <c r="P176" s="664">
        <f t="shared" si="79"/>
      </c>
      <c r="Q176" s="3"/>
      <c r="R176" s="107">
        <f t="shared" si="85"/>
        <v>0</v>
      </c>
      <c r="S176" s="107"/>
      <c r="T176" s="107">
        <f>_xlfn.IFERROR(IF(Simulador!$U$29=1,0,IF($B176&lt;=0,0,$B176*Simulador!$AA$42)),0)</f>
        <v>0</v>
      </c>
      <c r="U176" s="107"/>
      <c r="V176" s="107">
        <f>_xlfn.IFERROR(IF(Simulador!$U$29=1,0,IF($B176&lt;=0,0,IF(Simulador!$D$22&gt;0,Simulador!$D$22,Simulador!$O$24)*Simulador!$AA$43)),0)</f>
        <v>0</v>
      </c>
      <c r="W176" s="107"/>
      <c r="X176" s="107"/>
      <c r="Y176" s="107">
        <f t="shared" si="80"/>
        <v>0</v>
      </c>
      <c r="Z176" s="14"/>
      <c r="AA176" s="19"/>
      <c r="AB176" s="24"/>
      <c r="AC176" s="303">
        <v>13</v>
      </c>
      <c r="AD176" s="295">
        <v>6</v>
      </c>
      <c r="AE176" s="400">
        <f t="shared" si="86"/>
        <v>0</v>
      </c>
      <c r="AF176" s="279">
        <f t="shared" si="87"/>
        <v>0</v>
      </c>
      <c r="AG176" s="279">
        <f t="shared" si="88"/>
        <v>0</v>
      </c>
      <c r="AH176" s="418">
        <f t="shared" si="89"/>
        <v>0</v>
      </c>
      <c r="AI176" s="296">
        <f>IF(Simulador!$T$67=1,'Tabla de amortizacion'!AJ176,'Tabla de amortizacion'!AR176)</f>
        <v>0.09</v>
      </c>
      <c r="AJ176" s="297">
        <f t="shared" si="102"/>
        <v>0.09</v>
      </c>
      <c r="AK176" s="298">
        <f t="shared" si="90"/>
        <v>0</v>
      </c>
      <c r="AL176" s="298"/>
      <c r="AM176" s="304"/>
      <c r="AN176" s="520">
        <f t="shared" si="77"/>
        <v>0.092</v>
      </c>
      <c r="AO176" s="520">
        <f t="shared" si="77"/>
        <v>0.092</v>
      </c>
      <c r="AP176" s="299">
        <v>0</v>
      </c>
      <c r="AQ176" s="414">
        <f t="shared" si="91"/>
        <v>0</v>
      </c>
      <c r="AR176" s="300">
        <f>IF(AND(Simulador!$T$67=2,Simulador!$T$61=1),AL176,IF(AND(Simulador!$T$67=2,Simulador!$T$61=2),AM176,IF(AND(Simulador!$T$67=2,Simulador!$T$61=3),AN176,AO176)))</f>
        <v>0.092</v>
      </c>
      <c r="AS176" s="281"/>
      <c r="AT176" s="70">
        <f t="shared" si="100"/>
        <v>0</v>
      </c>
      <c r="AU176" s="70">
        <f t="shared" si="92"/>
        <v>0</v>
      </c>
      <c r="AV176" s="71">
        <f t="shared" si="81"/>
        <v>0</v>
      </c>
      <c r="AW176" s="70">
        <f t="shared" si="82"/>
        <v>0</v>
      </c>
      <c r="AX176" s="70">
        <f t="shared" si="93"/>
        <v>0</v>
      </c>
      <c r="AY176" s="72">
        <f t="shared" si="83"/>
      </c>
      <c r="AZ176" s="70">
        <f>_xlfn.IFERROR(IF(Simulador!$U$29=1,0,IF($AT176&lt;=0.01,0,$AT176*Simulador!$AA$42)),0)+_xlfn.IFERROR(IF(Simulador!$U$29=1,0,IF($AT176&lt;=0.01,0,IF(Simulador!$D$22&gt;0,Simulador!$D$22,Simulador!$O$24)*Simulador!$AA$43)),0)</f>
        <v>0</v>
      </c>
      <c r="BA176" s="73"/>
      <c r="BB176" s="70">
        <f t="shared" si="84"/>
        <v>0</v>
      </c>
      <c r="BC176">
        <f t="shared" si="94"/>
        <v>0</v>
      </c>
      <c r="BD176" s="431">
        <f t="shared" si="95"/>
      </c>
      <c r="BE176" s="432">
        <f t="shared" si="96"/>
        <v>0</v>
      </c>
      <c r="BF176" s="69">
        <v>162</v>
      </c>
      <c r="BG176" s="38"/>
      <c r="BJ176" s="69"/>
      <c r="BM176" s="432"/>
    </row>
    <row r="177" spans="1:65" ht="12">
      <c r="A177" s="531">
        <v>163</v>
      </c>
      <c r="B177" s="106">
        <f t="shared" si="97"/>
        <v>0</v>
      </c>
      <c r="C177" s="106"/>
      <c r="D177" s="107">
        <f>IF(B177+F177-D176&lt;=0,B177+F177,IF(AND(OR(Simulador!$U$38=2,Simulador!$U$38=7),J176=0),D176*(1+AA177),IF($AE$3=2,B177*AQ177,D176*(1+AA177))))</f>
        <v>0</v>
      </c>
      <c r="E177" s="107"/>
      <c r="F177" s="107">
        <f t="shared" si="78"/>
        <v>0</v>
      </c>
      <c r="G177" s="107"/>
      <c r="H177" s="107">
        <f t="shared" si="98"/>
        <v>0</v>
      </c>
      <c r="I177" s="108"/>
      <c r="J177" s="109"/>
      <c r="K177" s="108"/>
      <c r="L177" s="107">
        <f>IF(Simulador!$T$40=1,0,J177*Simulador!$W$38*1.16)</f>
        <v>0</v>
      </c>
      <c r="M177" s="107"/>
      <c r="N177" s="111"/>
      <c r="O177" s="13"/>
      <c r="P177" s="664">
        <f t="shared" si="79"/>
      </c>
      <c r="Q177" s="3"/>
      <c r="R177" s="107">
        <f t="shared" si="85"/>
        <v>0</v>
      </c>
      <c r="S177" s="107"/>
      <c r="T177" s="107">
        <f>_xlfn.IFERROR(IF(Simulador!$U$29=1,0,IF($B177&lt;=0,0,$B177*Simulador!$AA$42)),0)</f>
        <v>0</v>
      </c>
      <c r="U177" s="107"/>
      <c r="V177" s="107">
        <f>_xlfn.IFERROR(IF(Simulador!$U$29=1,0,IF($B177&lt;=0,0,IF(Simulador!$D$22&gt;0,Simulador!$D$22,Simulador!$O$24)*Simulador!$AA$43)),0)</f>
        <v>0</v>
      </c>
      <c r="W177" s="107"/>
      <c r="X177" s="107"/>
      <c r="Y177" s="107">
        <f t="shared" si="80"/>
        <v>0</v>
      </c>
      <c r="Z177" s="14"/>
      <c r="AA177" s="19"/>
      <c r="AB177" s="24"/>
      <c r="AC177" s="303">
        <v>13</v>
      </c>
      <c r="AD177" s="295">
        <v>7</v>
      </c>
      <c r="AE177" s="400">
        <f t="shared" si="86"/>
        <v>0</v>
      </c>
      <c r="AF177" s="279">
        <f t="shared" si="87"/>
        <v>0</v>
      </c>
      <c r="AG177" s="279">
        <f t="shared" si="88"/>
        <v>0</v>
      </c>
      <c r="AH177" s="418">
        <f t="shared" si="89"/>
        <v>0</v>
      </c>
      <c r="AI177" s="296">
        <f>IF(Simulador!$T$67=1,'Tabla de amortizacion'!AJ177,'Tabla de amortizacion'!AR177)</f>
        <v>0.09</v>
      </c>
      <c r="AJ177" s="297">
        <f t="shared" si="102"/>
        <v>0.09</v>
      </c>
      <c r="AK177" s="298">
        <f t="shared" si="90"/>
        <v>0</v>
      </c>
      <c r="AL177" s="298"/>
      <c r="AM177" s="304"/>
      <c r="AN177" s="520">
        <f t="shared" si="77"/>
        <v>0.092</v>
      </c>
      <c r="AO177" s="520">
        <f t="shared" si="77"/>
        <v>0.092</v>
      </c>
      <c r="AP177" s="299">
        <v>0</v>
      </c>
      <c r="AQ177" s="414">
        <f t="shared" si="91"/>
        <v>0</v>
      </c>
      <c r="AR177" s="300">
        <f>IF(AND(Simulador!$T$67=2,Simulador!$T$61=1),AL177,IF(AND(Simulador!$T$67=2,Simulador!$T$61=2),AM177,IF(AND(Simulador!$T$67=2,Simulador!$T$61=3),AN177,AO177)))</f>
        <v>0.092</v>
      </c>
      <c r="AS177" s="281"/>
      <c r="AT177" s="70">
        <f t="shared" si="100"/>
        <v>0</v>
      </c>
      <c r="AU177" s="70">
        <f t="shared" si="92"/>
        <v>0</v>
      </c>
      <c r="AV177" s="71">
        <f t="shared" si="81"/>
        <v>0</v>
      </c>
      <c r="AW177" s="70">
        <f t="shared" si="82"/>
        <v>0</v>
      </c>
      <c r="AX177" s="70">
        <f t="shared" si="93"/>
        <v>0</v>
      </c>
      <c r="AY177" s="72">
        <f t="shared" si="83"/>
      </c>
      <c r="AZ177" s="70">
        <f>_xlfn.IFERROR(IF(Simulador!$U$29=1,0,IF($AT177&lt;=0.01,0,$AT177*Simulador!$AA$42)),0)+_xlfn.IFERROR(IF(Simulador!$U$29=1,0,IF($AT177&lt;=0.01,0,IF(Simulador!$D$22&gt;0,Simulador!$D$22,Simulador!$O$24)*Simulador!$AA$43)),0)</f>
        <v>0</v>
      </c>
      <c r="BA177" s="73"/>
      <c r="BB177" s="70">
        <f t="shared" si="84"/>
        <v>0</v>
      </c>
      <c r="BC177">
        <f t="shared" si="94"/>
        <v>0</v>
      </c>
      <c r="BD177" s="431">
        <f t="shared" si="95"/>
      </c>
      <c r="BE177" s="432">
        <f t="shared" si="96"/>
        <v>0</v>
      </c>
      <c r="BF177" s="69">
        <v>163</v>
      </c>
      <c r="BG177" s="38"/>
      <c r="BJ177" s="69"/>
      <c r="BM177" s="432"/>
    </row>
    <row r="178" spans="1:65" ht="12">
      <c r="A178" s="531">
        <v>164</v>
      </c>
      <c r="B178" s="106">
        <f t="shared" si="97"/>
        <v>0</v>
      </c>
      <c r="C178" s="106"/>
      <c r="D178" s="107">
        <f>IF(B178+F178-D177&lt;=0,B178+F178,IF(AND(OR(Simulador!$U$38=2,Simulador!$U$38=7),J177=0),D177*(1+AA178),IF($AE$3=2,B178*AQ178,D177*(1+AA178))))</f>
        <v>0</v>
      </c>
      <c r="E178" s="107"/>
      <c r="F178" s="107">
        <f t="shared" si="78"/>
        <v>0</v>
      </c>
      <c r="G178" s="107"/>
      <c r="H178" s="107">
        <f t="shared" si="98"/>
        <v>0</v>
      </c>
      <c r="I178" s="108"/>
      <c r="J178" s="109"/>
      <c r="K178" s="108"/>
      <c r="L178" s="107">
        <f>IF(Simulador!$T$40=1,0,J178*Simulador!$W$38*1.16)</f>
        <v>0</v>
      </c>
      <c r="M178" s="107"/>
      <c r="N178" s="110">
        <f>IF(B178-H178=0,0,N176)</f>
        <v>0</v>
      </c>
      <c r="O178" s="13"/>
      <c r="P178" s="664">
        <f t="shared" si="79"/>
      </c>
      <c r="Q178" s="3"/>
      <c r="R178" s="107">
        <f t="shared" si="85"/>
        <v>0</v>
      </c>
      <c r="S178" s="107"/>
      <c r="T178" s="107">
        <f>_xlfn.IFERROR(IF(Simulador!$U$29=1,0,IF($B178&lt;=0,0,$B178*Simulador!$AA$42)),0)</f>
        <v>0</v>
      </c>
      <c r="U178" s="107"/>
      <c r="V178" s="107">
        <f>_xlfn.IFERROR(IF(Simulador!$U$29=1,0,IF($B178&lt;=0,0,IF(Simulador!$D$22&gt;0,Simulador!$D$22,Simulador!$O$24)*Simulador!$AA$43)),0)</f>
        <v>0</v>
      </c>
      <c r="W178" s="107"/>
      <c r="X178" s="107"/>
      <c r="Y178" s="107">
        <f t="shared" si="80"/>
        <v>0</v>
      </c>
      <c r="Z178" s="14"/>
      <c r="AA178" s="19"/>
      <c r="AB178" s="24"/>
      <c r="AC178" s="303">
        <v>13</v>
      </c>
      <c r="AD178" s="295">
        <v>8</v>
      </c>
      <c r="AE178" s="400">
        <f t="shared" si="86"/>
        <v>0</v>
      </c>
      <c r="AF178" s="279">
        <f t="shared" si="87"/>
        <v>0</v>
      </c>
      <c r="AG178" s="279">
        <f t="shared" si="88"/>
        <v>0</v>
      </c>
      <c r="AH178" s="418">
        <f t="shared" si="89"/>
        <v>0</v>
      </c>
      <c r="AI178" s="296">
        <f>IF(Simulador!$T$67=1,'Tabla de amortizacion'!AJ178,'Tabla de amortizacion'!AR178)</f>
        <v>0.09</v>
      </c>
      <c r="AJ178" s="297">
        <f t="shared" si="102"/>
        <v>0.09</v>
      </c>
      <c r="AK178" s="298">
        <f t="shared" si="90"/>
        <v>0</v>
      </c>
      <c r="AL178" s="298"/>
      <c r="AM178" s="304"/>
      <c r="AN178" s="520">
        <f t="shared" si="77"/>
        <v>0.092</v>
      </c>
      <c r="AO178" s="520">
        <f t="shared" si="77"/>
        <v>0.092</v>
      </c>
      <c r="AP178" s="299">
        <v>0</v>
      </c>
      <c r="AQ178" s="414">
        <f t="shared" si="91"/>
        <v>0</v>
      </c>
      <c r="AR178" s="300">
        <f>IF(AND(Simulador!$T$67=2,Simulador!$T$61=1),AL178,IF(AND(Simulador!$T$67=2,Simulador!$T$61=2),AM178,IF(AND(Simulador!$T$67=2,Simulador!$T$61=3),AN178,AO178)))</f>
        <v>0.092</v>
      </c>
      <c r="AS178" s="281"/>
      <c r="AT178" s="70">
        <f t="shared" si="100"/>
        <v>0</v>
      </c>
      <c r="AU178" s="70">
        <f t="shared" si="92"/>
        <v>0</v>
      </c>
      <c r="AV178" s="71">
        <f t="shared" si="81"/>
        <v>0</v>
      </c>
      <c r="AW178" s="70">
        <f t="shared" si="82"/>
        <v>0</v>
      </c>
      <c r="AX178" s="70">
        <f t="shared" si="93"/>
        <v>0</v>
      </c>
      <c r="AY178" s="72">
        <f t="shared" si="83"/>
      </c>
      <c r="AZ178" s="70">
        <f>_xlfn.IFERROR(IF(Simulador!$U$29=1,0,IF($AT178&lt;=0.01,0,$AT178*Simulador!$AA$42)),0)+_xlfn.IFERROR(IF(Simulador!$U$29=1,0,IF($AT178&lt;=0.01,0,IF(Simulador!$D$22&gt;0,Simulador!$D$22,Simulador!$O$24)*Simulador!$AA$43)),0)</f>
        <v>0</v>
      </c>
      <c r="BA178" s="73"/>
      <c r="BB178" s="70">
        <f t="shared" si="84"/>
        <v>0</v>
      </c>
      <c r="BC178">
        <f t="shared" si="94"/>
        <v>0</v>
      </c>
      <c r="BD178" s="431">
        <f t="shared" si="95"/>
      </c>
      <c r="BE178" s="432">
        <f t="shared" si="96"/>
        <v>0</v>
      </c>
      <c r="BF178" s="69">
        <v>164</v>
      </c>
      <c r="BG178" s="38"/>
      <c r="BJ178" s="69"/>
      <c r="BM178" s="432"/>
    </row>
    <row r="179" spans="1:65" ht="12">
      <c r="A179" s="531">
        <v>165</v>
      </c>
      <c r="B179" s="106">
        <f t="shared" si="97"/>
        <v>0</v>
      </c>
      <c r="C179" s="106"/>
      <c r="D179" s="107">
        <f>IF(B179+F179-D178&lt;=0,B179+F179,IF(AND(OR(Simulador!$U$38=2,Simulador!$U$38=7),J178=0),D178*(1+AA179),IF($AE$3=2,B179*AQ179,D178*(1+AA179))))</f>
        <v>0</v>
      </c>
      <c r="E179" s="107"/>
      <c r="F179" s="107">
        <f t="shared" si="78"/>
        <v>0</v>
      </c>
      <c r="G179" s="107"/>
      <c r="H179" s="107">
        <f t="shared" si="98"/>
        <v>0</v>
      </c>
      <c r="I179" s="108"/>
      <c r="J179" s="109"/>
      <c r="K179" s="108"/>
      <c r="L179" s="107">
        <f>IF(Simulador!$T$40=1,0,J179*Simulador!$W$38*1.16)</f>
        <v>0</v>
      </c>
      <c r="M179" s="107"/>
      <c r="N179" s="111"/>
      <c r="O179" s="13"/>
      <c r="P179" s="664">
        <f t="shared" si="79"/>
      </c>
      <c r="Q179" s="3"/>
      <c r="R179" s="107">
        <f t="shared" si="85"/>
        <v>0</v>
      </c>
      <c r="S179" s="107"/>
      <c r="T179" s="107">
        <f>_xlfn.IFERROR(IF(Simulador!$U$29=1,0,IF($B179&lt;=0,0,$B179*Simulador!$AA$42)),0)</f>
        <v>0</v>
      </c>
      <c r="U179" s="107"/>
      <c r="V179" s="107">
        <f>_xlfn.IFERROR(IF(Simulador!$U$29=1,0,IF($B179&lt;=0,0,IF(Simulador!$D$22&gt;0,Simulador!$D$22,Simulador!$O$24)*Simulador!$AA$43)),0)</f>
        <v>0</v>
      </c>
      <c r="W179" s="107"/>
      <c r="X179" s="107"/>
      <c r="Y179" s="107">
        <f t="shared" si="80"/>
        <v>0</v>
      </c>
      <c r="Z179" s="14"/>
      <c r="AA179" s="19"/>
      <c r="AB179" s="24"/>
      <c r="AC179" s="303">
        <v>13</v>
      </c>
      <c r="AD179" s="302">
        <v>9</v>
      </c>
      <c r="AE179" s="400">
        <f t="shared" si="86"/>
        <v>0</v>
      </c>
      <c r="AF179" s="279">
        <f t="shared" si="87"/>
        <v>0</v>
      </c>
      <c r="AG179" s="279">
        <f t="shared" si="88"/>
        <v>0</v>
      </c>
      <c r="AH179" s="418">
        <f t="shared" si="89"/>
        <v>0</v>
      </c>
      <c r="AI179" s="296">
        <f>IF(Simulador!$T$67=1,'Tabla de amortizacion'!AJ179,'Tabla de amortizacion'!AR179)</f>
        <v>0.09</v>
      </c>
      <c r="AJ179" s="297">
        <f t="shared" si="102"/>
        <v>0.09</v>
      </c>
      <c r="AK179" s="298">
        <f t="shared" si="90"/>
        <v>0</v>
      </c>
      <c r="AL179" s="298"/>
      <c r="AM179" s="304"/>
      <c r="AN179" s="520">
        <f t="shared" si="77"/>
        <v>0.092</v>
      </c>
      <c r="AO179" s="520">
        <f t="shared" si="77"/>
        <v>0.092</v>
      </c>
      <c r="AP179" s="299">
        <v>0</v>
      </c>
      <c r="AQ179" s="414">
        <f t="shared" si="91"/>
        <v>0</v>
      </c>
      <c r="AR179" s="300">
        <f>IF(AND(Simulador!$T$67=2,Simulador!$T$61=1),AL179,IF(AND(Simulador!$T$67=2,Simulador!$T$61=2),AM179,IF(AND(Simulador!$T$67=2,Simulador!$T$61=3),AN179,AO179)))</f>
        <v>0.092</v>
      </c>
      <c r="AS179" s="281"/>
      <c r="AT179" s="70">
        <f t="shared" si="100"/>
        <v>0</v>
      </c>
      <c r="AU179" s="70">
        <f t="shared" si="92"/>
        <v>0</v>
      </c>
      <c r="AV179" s="71">
        <f t="shared" si="81"/>
        <v>0</v>
      </c>
      <c r="AW179" s="70">
        <f t="shared" si="82"/>
        <v>0</v>
      </c>
      <c r="AX179" s="70">
        <f t="shared" si="93"/>
        <v>0</v>
      </c>
      <c r="AY179" s="72">
        <f t="shared" si="83"/>
      </c>
      <c r="AZ179" s="70">
        <f>_xlfn.IFERROR(IF(Simulador!$U$29=1,0,IF($AT179&lt;=0.01,0,$AT179*Simulador!$AA$42)),0)+_xlfn.IFERROR(IF(Simulador!$U$29=1,0,IF($AT179&lt;=0.01,0,IF(Simulador!$D$22&gt;0,Simulador!$D$22,Simulador!$O$24)*Simulador!$AA$43)),0)</f>
        <v>0</v>
      </c>
      <c r="BA179" s="73"/>
      <c r="BB179" s="70">
        <f t="shared" si="84"/>
        <v>0</v>
      </c>
      <c r="BC179">
        <f t="shared" si="94"/>
        <v>0</v>
      </c>
      <c r="BD179" s="431">
        <f t="shared" si="95"/>
      </c>
      <c r="BE179" s="432">
        <f t="shared" si="96"/>
        <v>0</v>
      </c>
      <c r="BF179" s="69">
        <v>165</v>
      </c>
      <c r="BG179" s="38"/>
      <c r="BJ179" s="69"/>
      <c r="BM179" s="432"/>
    </row>
    <row r="180" spans="1:65" ht="12">
      <c r="A180" s="531">
        <v>166</v>
      </c>
      <c r="B180" s="106">
        <f t="shared" si="97"/>
        <v>0</v>
      </c>
      <c r="C180" s="106"/>
      <c r="D180" s="107">
        <f>IF(B180+F180-D179&lt;=0,B180+F180,IF(AND(OR(Simulador!$U$38=2,Simulador!$U$38=7),J179=0),D179*(1+AA180),IF($AE$3=2,B180*AQ180,D179*(1+AA180))))</f>
        <v>0</v>
      </c>
      <c r="E180" s="107"/>
      <c r="F180" s="107">
        <f t="shared" si="78"/>
        <v>0</v>
      </c>
      <c r="G180" s="107"/>
      <c r="H180" s="107">
        <f t="shared" si="98"/>
        <v>0</v>
      </c>
      <c r="I180" s="108"/>
      <c r="J180" s="109"/>
      <c r="K180" s="108"/>
      <c r="L180" s="107">
        <f>IF(Simulador!$T$40=1,0,J180*Simulador!$W$38*1.16)</f>
        <v>0</v>
      </c>
      <c r="M180" s="107"/>
      <c r="N180" s="110">
        <f>IF(B180-H180=0,0,N178)</f>
        <v>0</v>
      </c>
      <c r="O180" s="13"/>
      <c r="P180" s="664">
        <f t="shared" si="79"/>
      </c>
      <c r="Q180" s="3"/>
      <c r="R180" s="107">
        <f t="shared" si="85"/>
        <v>0</v>
      </c>
      <c r="S180" s="107"/>
      <c r="T180" s="107">
        <f>_xlfn.IFERROR(IF(Simulador!$U$29=1,0,IF($B180&lt;=0,0,$B180*Simulador!$AA$42)),0)</f>
        <v>0</v>
      </c>
      <c r="U180" s="107"/>
      <c r="V180" s="107">
        <f>_xlfn.IFERROR(IF(Simulador!$U$29=1,0,IF($B180&lt;=0,0,IF(Simulador!$D$22&gt;0,Simulador!$D$22,Simulador!$O$24)*Simulador!$AA$43)),0)</f>
        <v>0</v>
      </c>
      <c r="W180" s="107"/>
      <c r="X180" s="107"/>
      <c r="Y180" s="107">
        <f t="shared" si="80"/>
        <v>0</v>
      </c>
      <c r="Z180" s="14"/>
      <c r="AA180" s="19"/>
      <c r="AB180" s="24"/>
      <c r="AC180" s="303">
        <v>13</v>
      </c>
      <c r="AD180" s="302">
        <v>10</v>
      </c>
      <c r="AE180" s="400">
        <f t="shared" si="86"/>
        <v>0</v>
      </c>
      <c r="AF180" s="279">
        <f t="shared" si="87"/>
        <v>0</v>
      </c>
      <c r="AG180" s="279">
        <f t="shared" si="88"/>
        <v>0</v>
      </c>
      <c r="AH180" s="418">
        <f t="shared" si="89"/>
        <v>0</v>
      </c>
      <c r="AI180" s="296">
        <f>IF(Simulador!$T$67=1,'Tabla de amortizacion'!AJ180,'Tabla de amortizacion'!AR180)</f>
        <v>0.09</v>
      </c>
      <c r="AJ180" s="297">
        <f t="shared" si="102"/>
        <v>0.09</v>
      </c>
      <c r="AK180" s="298">
        <f t="shared" si="90"/>
        <v>0</v>
      </c>
      <c r="AL180" s="298"/>
      <c r="AM180" s="304"/>
      <c r="AN180" s="520">
        <f t="shared" si="77"/>
        <v>0.092</v>
      </c>
      <c r="AO180" s="520">
        <f t="shared" si="77"/>
        <v>0.092</v>
      </c>
      <c r="AP180" s="299">
        <v>0</v>
      </c>
      <c r="AQ180" s="414">
        <f t="shared" si="91"/>
        <v>0</v>
      </c>
      <c r="AR180" s="300">
        <f>IF(AND(Simulador!$T$67=2,Simulador!$T$61=1),AL180,IF(AND(Simulador!$T$67=2,Simulador!$T$61=2),AM180,IF(AND(Simulador!$T$67=2,Simulador!$T$61=3),AN180,AO180)))</f>
        <v>0.092</v>
      </c>
      <c r="AS180" s="281"/>
      <c r="AT180" s="70">
        <f t="shared" si="100"/>
        <v>0</v>
      </c>
      <c r="AU180" s="70">
        <f t="shared" si="92"/>
        <v>0</v>
      </c>
      <c r="AV180" s="71">
        <f t="shared" si="81"/>
        <v>0</v>
      </c>
      <c r="AW180" s="70">
        <f t="shared" si="82"/>
        <v>0</v>
      </c>
      <c r="AX180" s="70">
        <f t="shared" si="93"/>
        <v>0</v>
      </c>
      <c r="AY180" s="72">
        <f t="shared" si="83"/>
      </c>
      <c r="AZ180" s="70">
        <f>_xlfn.IFERROR(IF(Simulador!$U$29=1,0,IF($AT180&lt;=0.01,0,$AT180*Simulador!$AA$42)),0)+_xlfn.IFERROR(IF(Simulador!$U$29=1,0,IF($AT180&lt;=0.01,0,IF(Simulador!$D$22&gt;0,Simulador!$D$22,Simulador!$O$24)*Simulador!$AA$43)),0)</f>
        <v>0</v>
      </c>
      <c r="BA180" s="73"/>
      <c r="BB180" s="70">
        <f t="shared" si="84"/>
        <v>0</v>
      </c>
      <c r="BC180">
        <f t="shared" si="94"/>
        <v>0</v>
      </c>
      <c r="BD180" s="431">
        <f t="shared" si="95"/>
      </c>
      <c r="BE180" s="432">
        <f t="shared" si="96"/>
        <v>0</v>
      </c>
      <c r="BF180" s="69">
        <v>166</v>
      </c>
      <c r="BG180" s="38"/>
      <c r="BJ180" s="69"/>
      <c r="BM180" s="432"/>
    </row>
    <row r="181" spans="1:65" ht="12">
      <c r="A181" s="531">
        <v>167</v>
      </c>
      <c r="B181" s="106">
        <f t="shared" si="97"/>
        <v>0</v>
      </c>
      <c r="C181" s="106"/>
      <c r="D181" s="107">
        <f>IF(B181+F181-D180&lt;=0,B181+F181,IF(AND(OR(Simulador!$U$38=2,Simulador!$U$38=7),J180=0),D180*(1+AA181),IF($AE$3=2,B181*AQ181,D180*(1+AA181))))</f>
        <v>0</v>
      </c>
      <c r="E181" s="107"/>
      <c r="F181" s="107">
        <f t="shared" si="78"/>
        <v>0</v>
      </c>
      <c r="G181" s="107"/>
      <c r="H181" s="107">
        <f t="shared" si="98"/>
        <v>0</v>
      </c>
      <c r="I181" s="108"/>
      <c r="J181" s="109"/>
      <c r="K181" s="108"/>
      <c r="L181" s="107">
        <f>IF(Simulador!$T$40=1,0,J181*Simulador!$W$38*1.16)</f>
        <v>0</v>
      </c>
      <c r="M181" s="107"/>
      <c r="N181" s="111"/>
      <c r="O181" s="13"/>
      <c r="P181" s="664">
        <f t="shared" si="79"/>
      </c>
      <c r="Q181" s="3"/>
      <c r="R181" s="107">
        <f t="shared" si="85"/>
        <v>0</v>
      </c>
      <c r="S181" s="107"/>
      <c r="T181" s="107">
        <f>_xlfn.IFERROR(IF(Simulador!$U$29=1,0,IF($B181&lt;=0,0,$B181*Simulador!$AA$42)),0)</f>
        <v>0</v>
      </c>
      <c r="U181" s="107"/>
      <c r="V181" s="107">
        <f>_xlfn.IFERROR(IF(Simulador!$U$29=1,0,IF($B181&lt;=0,0,IF(Simulador!$D$22&gt;0,Simulador!$D$22,Simulador!$O$24)*Simulador!$AA$43)),0)</f>
        <v>0</v>
      </c>
      <c r="W181" s="107"/>
      <c r="X181" s="107"/>
      <c r="Y181" s="107">
        <f t="shared" si="80"/>
        <v>0</v>
      </c>
      <c r="Z181" s="14"/>
      <c r="AA181" s="19"/>
      <c r="AB181" s="24"/>
      <c r="AC181" s="303">
        <v>13</v>
      </c>
      <c r="AD181" s="295">
        <v>11</v>
      </c>
      <c r="AE181" s="400">
        <f t="shared" si="86"/>
        <v>0</v>
      </c>
      <c r="AF181" s="279">
        <f t="shared" si="87"/>
        <v>0</v>
      </c>
      <c r="AG181" s="279">
        <f t="shared" si="88"/>
        <v>0</v>
      </c>
      <c r="AH181" s="418">
        <f t="shared" si="89"/>
        <v>0</v>
      </c>
      <c r="AI181" s="296">
        <f>IF(Simulador!$T$67=1,'Tabla de amortizacion'!AJ181,'Tabla de amortizacion'!AR181)</f>
        <v>0.09</v>
      </c>
      <c r="AJ181" s="297">
        <f t="shared" si="102"/>
        <v>0.09</v>
      </c>
      <c r="AK181" s="298">
        <f t="shared" si="90"/>
        <v>0</v>
      </c>
      <c r="AL181" s="298"/>
      <c r="AM181" s="304"/>
      <c r="AN181" s="520">
        <f t="shared" si="77"/>
        <v>0.092</v>
      </c>
      <c r="AO181" s="520">
        <f t="shared" si="77"/>
        <v>0.092</v>
      </c>
      <c r="AP181" s="299">
        <v>0</v>
      </c>
      <c r="AQ181" s="414">
        <f t="shared" si="91"/>
        <v>0</v>
      </c>
      <c r="AR181" s="300">
        <f>IF(AND(Simulador!$T$67=2,Simulador!$T$61=1),AL181,IF(AND(Simulador!$T$67=2,Simulador!$T$61=2),AM181,IF(AND(Simulador!$T$67=2,Simulador!$T$61=3),AN181,AO181)))</f>
        <v>0.092</v>
      </c>
      <c r="AS181" s="281"/>
      <c r="AT181" s="70">
        <f t="shared" si="100"/>
        <v>0</v>
      </c>
      <c r="AU181" s="70">
        <f t="shared" si="92"/>
        <v>0</v>
      </c>
      <c r="AV181" s="71">
        <f t="shared" si="81"/>
        <v>0</v>
      </c>
      <c r="AW181" s="70">
        <f t="shared" si="82"/>
        <v>0</v>
      </c>
      <c r="AX181" s="70">
        <f t="shared" si="93"/>
        <v>0</v>
      </c>
      <c r="AY181" s="72">
        <f t="shared" si="83"/>
      </c>
      <c r="AZ181" s="70">
        <f>_xlfn.IFERROR(IF(Simulador!$U$29=1,0,IF($AT181&lt;=0.01,0,$AT181*Simulador!$AA$42)),0)+_xlfn.IFERROR(IF(Simulador!$U$29=1,0,IF($AT181&lt;=0.01,0,IF(Simulador!$D$22&gt;0,Simulador!$D$22,Simulador!$O$24)*Simulador!$AA$43)),0)</f>
        <v>0</v>
      </c>
      <c r="BA181" s="73"/>
      <c r="BB181" s="70">
        <f t="shared" si="84"/>
        <v>0</v>
      </c>
      <c r="BC181">
        <f t="shared" si="94"/>
        <v>0</v>
      </c>
      <c r="BD181" s="431">
        <f t="shared" si="95"/>
      </c>
      <c r="BE181" s="432">
        <f t="shared" si="96"/>
        <v>0</v>
      </c>
      <c r="BF181" s="69">
        <v>167</v>
      </c>
      <c r="BG181" s="38"/>
      <c r="BJ181" s="69"/>
      <c r="BM181" s="432"/>
    </row>
    <row r="182" spans="1:65" ht="12">
      <c r="A182" s="531">
        <v>168</v>
      </c>
      <c r="B182" s="106">
        <f t="shared" si="97"/>
        <v>0</v>
      </c>
      <c r="C182" s="106"/>
      <c r="D182" s="107">
        <f>IF(B182+F182-D181&lt;=0,B182+F182,IF(AND(OR(Simulador!$U$38=2,Simulador!$U$38=7),J181=0),D181*(1+AA182),IF($AE$3=2,B182*AQ182,D181*(1+AA182))))</f>
        <v>0</v>
      </c>
      <c r="E182" s="107"/>
      <c r="F182" s="107">
        <f t="shared" si="78"/>
        <v>0</v>
      </c>
      <c r="G182" s="107"/>
      <c r="H182" s="107">
        <f t="shared" si="98"/>
        <v>0</v>
      </c>
      <c r="I182" s="108"/>
      <c r="J182" s="109"/>
      <c r="K182" s="108"/>
      <c r="L182" s="107">
        <f>IF(Simulador!$T$40=1,0,J182*Simulador!$W$38*1.16)</f>
        <v>0</v>
      </c>
      <c r="M182" s="107"/>
      <c r="N182" s="110">
        <f>IF(B182-H182=0,0,N180)</f>
        <v>0</v>
      </c>
      <c r="O182" s="13"/>
      <c r="P182" s="664">
        <f t="shared" si="79"/>
      </c>
      <c r="Q182" s="3"/>
      <c r="R182" s="107">
        <f t="shared" si="85"/>
        <v>0</v>
      </c>
      <c r="S182" s="107"/>
      <c r="T182" s="107">
        <f>_xlfn.IFERROR(IF(Simulador!$U$29=1,0,IF($B182&lt;=0,0,$B182*Simulador!$AA$42)),0)</f>
        <v>0</v>
      </c>
      <c r="U182" s="107"/>
      <c r="V182" s="107">
        <f>_xlfn.IFERROR(IF(Simulador!$U$29=1,0,IF($B182&lt;=0,0,IF(Simulador!$D$22&gt;0,Simulador!$D$22,Simulador!$O$24)*Simulador!$AA$43)),0)</f>
        <v>0</v>
      </c>
      <c r="W182" s="107"/>
      <c r="X182" s="107"/>
      <c r="Y182" s="107">
        <f t="shared" si="80"/>
        <v>0</v>
      </c>
      <c r="Z182" s="14"/>
      <c r="AA182" s="19"/>
      <c r="AB182" s="24"/>
      <c r="AC182" s="303">
        <v>14</v>
      </c>
      <c r="AD182" s="295">
        <v>0</v>
      </c>
      <c r="AE182" s="400">
        <f t="shared" si="86"/>
        <v>0</v>
      </c>
      <c r="AF182" s="279">
        <f t="shared" si="87"/>
        <v>0</v>
      </c>
      <c r="AG182" s="279">
        <f t="shared" si="88"/>
        <v>0</v>
      </c>
      <c r="AH182" s="418">
        <f t="shared" si="89"/>
        <v>0</v>
      </c>
      <c r="AI182" s="296">
        <f>IF(Simulador!$T$67=1,'Tabla de amortizacion'!AJ182,'Tabla de amortizacion'!AR182)</f>
        <v>0.09</v>
      </c>
      <c r="AJ182" s="297">
        <f t="shared" si="102"/>
        <v>0.09</v>
      </c>
      <c r="AK182" s="298">
        <f t="shared" si="90"/>
        <v>0</v>
      </c>
      <c r="AL182" s="298"/>
      <c r="AM182" s="304"/>
      <c r="AN182" s="520">
        <f t="shared" si="77"/>
        <v>0.092</v>
      </c>
      <c r="AO182" s="520">
        <f t="shared" si="77"/>
        <v>0.092</v>
      </c>
      <c r="AP182" s="299">
        <v>0</v>
      </c>
      <c r="AQ182" s="414">
        <f t="shared" si="91"/>
        <v>0</v>
      </c>
      <c r="AR182" s="300">
        <f>IF(AND(Simulador!$T$67=2,Simulador!$T$61=1),AL182,IF(AND(Simulador!$T$67=2,Simulador!$T$61=2),AM182,IF(AND(Simulador!$T$67=2,Simulador!$T$61=3),AN182,AO182)))</f>
        <v>0.092</v>
      </c>
      <c r="AS182" s="281"/>
      <c r="AT182" s="70">
        <f t="shared" si="100"/>
        <v>0</v>
      </c>
      <c r="AU182" s="70">
        <f t="shared" si="92"/>
        <v>0</v>
      </c>
      <c r="AV182" s="71">
        <f t="shared" si="81"/>
        <v>0</v>
      </c>
      <c r="AW182" s="70">
        <f t="shared" si="82"/>
        <v>0</v>
      </c>
      <c r="AX182" s="70">
        <f t="shared" si="93"/>
        <v>0</v>
      </c>
      <c r="AY182" s="72">
        <f t="shared" si="83"/>
      </c>
      <c r="AZ182" s="70">
        <f>_xlfn.IFERROR(IF(Simulador!$U$29=1,0,IF($AT182&lt;=0.01,0,$AT182*Simulador!$AA$42)),0)+_xlfn.IFERROR(IF(Simulador!$U$29=1,0,IF($AT182&lt;=0.01,0,IF(Simulador!$D$22&gt;0,Simulador!$D$22,Simulador!$O$24)*Simulador!$AA$43)),0)</f>
        <v>0</v>
      </c>
      <c r="BA182" s="73"/>
      <c r="BB182" s="70">
        <f t="shared" si="84"/>
        <v>0</v>
      </c>
      <c r="BC182">
        <f t="shared" si="94"/>
        <v>0</v>
      </c>
      <c r="BD182" s="431">
        <f t="shared" si="95"/>
      </c>
      <c r="BE182" s="432">
        <f t="shared" si="96"/>
        <v>0</v>
      </c>
      <c r="BF182" s="69">
        <v>168</v>
      </c>
      <c r="BG182" s="38"/>
      <c r="BJ182" s="69"/>
      <c r="BM182" s="432"/>
    </row>
    <row r="183" spans="1:65" ht="12">
      <c r="A183" s="531">
        <v>169</v>
      </c>
      <c r="B183" s="106">
        <f t="shared" si="97"/>
        <v>0</v>
      </c>
      <c r="C183" s="106"/>
      <c r="D183" s="107">
        <f>IF(B183+F183-D182&lt;=0,B183+F183,IF(AND(OR(Simulador!$U$38=2,Simulador!$U$38=7),J182=0),D182*(1+AA183),IF($AE$3=2,B183*AQ183,D182*(1+AA183))))</f>
        <v>0</v>
      </c>
      <c r="E183" s="107"/>
      <c r="F183" s="107">
        <f t="shared" si="78"/>
        <v>0</v>
      </c>
      <c r="G183" s="107"/>
      <c r="H183" s="107">
        <f t="shared" si="98"/>
        <v>0</v>
      </c>
      <c r="I183" s="108"/>
      <c r="J183" s="109"/>
      <c r="K183" s="108"/>
      <c r="L183" s="107">
        <f>IF(Simulador!$T$40=1,0,J183*Simulador!$W$38*1.16)</f>
        <v>0</v>
      </c>
      <c r="M183" s="107"/>
      <c r="N183" s="111"/>
      <c r="O183" s="13"/>
      <c r="P183" s="664">
        <f t="shared" si="79"/>
      </c>
      <c r="Q183" s="3"/>
      <c r="R183" s="107">
        <f t="shared" si="85"/>
        <v>0</v>
      </c>
      <c r="S183" s="107"/>
      <c r="T183" s="107">
        <f>_xlfn.IFERROR(IF(Simulador!$U$29=1,0,IF($B183&lt;=0,0,$B183*Simulador!$AA$42)),0)</f>
        <v>0</v>
      </c>
      <c r="U183" s="107"/>
      <c r="V183" s="107">
        <f>_xlfn.IFERROR(IF(Simulador!$U$29=1,0,IF($B183&lt;=0,0,IF(Simulador!$D$22&gt;0,Simulador!$D$22,Simulador!$O$24)*Simulador!$AA$43)),0)</f>
        <v>0</v>
      </c>
      <c r="W183" s="107"/>
      <c r="X183" s="107"/>
      <c r="Y183" s="107">
        <f t="shared" si="80"/>
        <v>0</v>
      </c>
      <c r="Z183" s="14"/>
      <c r="AA183" s="19">
        <f>IF(B183&lt;=0,0,Simulador!$I$42)</f>
        <v>0</v>
      </c>
      <c r="AB183" s="24"/>
      <c r="AC183" s="303">
        <v>14</v>
      </c>
      <c r="AD183" s="295">
        <v>1</v>
      </c>
      <c r="AE183" s="400">
        <f t="shared" si="86"/>
        <v>0</v>
      </c>
      <c r="AF183" s="279">
        <f t="shared" si="87"/>
        <v>0</v>
      </c>
      <c r="AG183" s="279">
        <f t="shared" si="88"/>
        <v>0</v>
      </c>
      <c r="AH183" s="418">
        <f t="shared" si="89"/>
        <v>0</v>
      </c>
      <c r="AI183" s="296">
        <f>IF(Simulador!$T$67=1,'Tabla de amortizacion'!AJ183,'Tabla de amortizacion'!AR183)</f>
        <v>0.09</v>
      </c>
      <c r="AJ183" s="297">
        <f>IF(AJ182=$AM$4,AJ182,IF(AJ182-0.25%&lt;=$AM$4,$AM$4,AJ182-0.25%))</f>
        <v>0.09</v>
      </c>
      <c r="AK183" s="298">
        <f t="shared" si="90"/>
        <v>0</v>
      </c>
      <c r="AL183" s="298"/>
      <c r="AM183" s="304"/>
      <c r="AN183" s="520">
        <f t="shared" si="77"/>
        <v>0.092</v>
      </c>
      <c r="AO183" s="520">
        <f t="shared" si="77"/>
        <v>0.092</v>
      </c>
      <c r="AP183" s="299">
        <v>0</v>
      </c>
      <c r="AQ183" s="414">
        <f t="shared" si="91"/>
        <v>0</v>
      </c>
      <c r="AR183" s="300">
        <f>IF(AND(Simulador!$T$67=2,Simulador!$T$61=1),AL183,IF(AND(Simulador!$T$67=2,Simulador!$T$61=2),AM183,IF(AND(Simulador!$T$67=2,Simulador!$T$61=3),AN183,AO183)))</f>
        <v>0.092</v>
      </c>
      <c r="AS183" s="281"/>
      <c r="AT183" s="70">
        <f t="shared" si="100"/>
        <v>0</v>
      </c>
      <c r="AU183" s="70">
        <f t="shared" si="92"/>
        <v>0</v>
      </c>
      <c r="AV183" s="71">
        <f t="shared" si="81"/>
        <v>0</v>
      </c>
      <c r="AW183" s="70">
        <f t="shared" si="82"/>
        <v>0</v>
      </c>
      <c r="AX183" s="70">
        <f t="shared" si="93"/>
        <v>0</v>
      </c>
      <c r="AY183" s="72">
        <f t="shared" si="83"/>
      </c>
      <c r="AZ183" s="70">
        <f>_xlfn.IFERROR(IF(Simulador!$U$29=1,0,IF($AT183&lt;=0.01,0,$AT183*Simulador!$AA$42)),0)+_xlfn.IFERROR(IF(Simulador!$U$29=1,0,IF($AT183&lt;=0.01,0,IF(Simulador!$D$22&gt;0,Simulador!$D$22,Simulador!$O$24)*Simulador!$AA$43)),0)</f>
        <v>0</v>
      </c>
      <c r="BA183" s="73">
        <f>IF(AT183&lt;=0,0,$BA$27)</f>
        <v>0</v>
      </c>
      <c r="BB183" s="70">
        <f t="shared" si="84"/>
        <v>0</v>
      </c>
      <c r="BC183">
        <f t="shared" si="94"/>
        <v>0</v>
      </c>
      <c r="BD183" s="431">
        <f t="shared" si="95"/>
      </c>
      <c r="BE183" s="432">
        <f t="shared" si="96"/>
        <v>0</v>
      </c>
      <c r="BF183" s="69">
        <v>169</v>
      </c>
      <c r="BG183" s="38"/>
      <c r="BJ183" s="69"/>
      <c r="BM183" s="432"/>
    </row>
    <row r="184" spans="1:65" ht="12">
      <c r="A184" s="531">
        <v>170</v>
      </c>
      <c r="B184" s="106">
        <f t="shared" si="97"/>
        <v>0</v>
      </c>
      <c r="C184" s="106"/>
      <c r="D184" s="107">
        <f>IF(B184+F184-D183&lt;=0,B184+F184,IF(AND(OR(Simulador!$U$38=2,Simulador!$U$38=7),J183=0),D183*(1+AA184),IF($AE$3=2,B184*AQ184,D183*(1+AA184))))</f>
        <v>0</v>
      </c>
      <c r="E184" s="107"/>
      <c r="F184" s="107">
        <f t="shared" si="78"/>
        <v>0</v>
      </c>
      <c r="G184" s="107"/>
      <c r="H184" s="107">
        <f t="shared" si="98"/>
        <v>0</v>
      </c>
      <c r="I184" s="108"/>
      <c r="J184" s="109"/>
      <c r="K184" s="108"/>
      <c r="L184" s="107">
        <f>IF(Simulador!$T$40=1,0,J184*Simulador!$W$38*1.16)</f>
        <v>0</v>
      </c>
      <c r="M184" s="107"/>
      <c r="N184" s="110">
        <f>IF(B184-H184=0,0,N182*(1+(Simulador!$AF$76)))</f>
        <v>0</v>
      </c>
      <c r="O184" s="13"/>
      <c r="P184" s="664">
        <f t="shared" si="79"/>
      </c>
      <c r="Q184" s="3"/>
      <c r="R184" s="107">
        <f t="shared" si="85"/>
        <v>0</v>
      </c>
      <c r="S184" s="107"/>
      <c r="T184" s="107">
        <f>_xlfn.IFERROR(IF(Simulador!$U$29=1,0,IF($B184&lt;=0,0,$B184*Simulador!$AA$42)),0)</f>
        <v>0</v>
      </c>
      <c r="U184" s="107"/>
      <c r="V184" s="107">
        <f>_xlfn.IFERROR(IF(Simulador!$U$29=1,0,IF($B184&lt;=0,0,IF(Simulador!$D$22&gt;0,Simulador!$D$22,Simulador!$O$24)*Simulador!$AA$43)),0)</f>
        <v>0</v>
      </c>
      <c r="W184" s="107"/>
      <c r="X184" s="107"/>
      <c r="Y184" s="107">
        <f t="shared" si="80"/>
        <v>0</v>
      </c>
      <c r="Z184" s="14"/>
      <c r="AA184" s="19"/>
      <c r="AB184" s="24"/>
      <c r="AC184" s="303">
        <v>14</v>
      </c>
      <c r="AD184" s="301">
        <v>2</v>
      </c>
      <c r="AE184" s="400">
        <f t="shared" si="86"/>
        <v>0</v>
      </c>
      <c r="AF184" s="279">
        <f t="shared" si="87"/>
        <v>0</v>
      </c>
      <c r="AG184" s="279">
        <f t="shared" si="88"/>
        <v>0</v>
      </c>
      <c r="AH184" s="418">
        <f t="shared" si="89"/>
        <v>0</v>
      </c>
      <c r="AI184" s="296">
        <f>IF(Simulador!$T$67=1,'Tabla de amortizacion'!AJ184,'Tabla de amortizacion'!AR184)</f>
        <v>0.09</v>
      </c>
      <c r="AJ184" s="297">
        <f>AJ183</f>
        <v>0.09</v>
      </c>
      <c r="AK184" s="298">
        <f t="shared" si="90"/>
        <v>0</v>
      </c>
      <c r="AL184" s="298"/>
      <c r="AM184" s="304"/>
      <c r="AN184" s="520">
        <f t="shared" si="77"/>
        <v>0.092</v>
      </c>
      <c r="AO184" s="520">
        <f t="shared" si="77"/>
        <v>0.092</v>
      </c>
      <c r="AP184" s="299">
        <v>0</v>
      </c>
      <c r="AQ184" s="414">
        <f t="shared" si="91"/>
        <v>0</v>
      </c>
      <c r="AR184" s="300">
        <f>IF(AND(Simulador!$T$67=2,Simulador!$T$61=1),AL184,IF(AND(Simulador!$T$67=2,Simulador!$T$61=2),AM184,IF(AND(Simulador!$T$67=2,Simulador!$T$61=3),AN184,AO184)))</f>
        <v>0.092</v>
      </c>
      <c r="AS184" s="281"/>
      <c r="AT184" s="70">
        <f t="shared" si="100"/>
        <v>0</v>
      </c>
      <c r="AU184" s="70">
        <f t="shared" si="92"/>
        <v>0</v>
      </c>
      <c r="AV184" s="71">
        <f t="shared" si="81"/>
        <v>0</v>
      </c>
      <c r="AW184" s="70">
        <f t="shared" si="82"/>
        <v>0</v>
      </c>
      <c r="AX184" s="70">
        <f t="shared" si="93"/>
        <v>0</v>
      </c>
      <c r="AY184" s="72">
        <f t="shared" si="83"/>
      </c>
      <c r="AZ184" s="70">
        <f>_xlfn.IFERROR(IF(Simulador!$U$29=1,0,IF($AT184&lt;=0.01,0,$AT184*Simulador!$AA$42)),0)+_xlfn.IFERROR(IF(Simulador!$U$29=1,0,IF($AT184&lt;=0.01,0,IF(Simulador!$D$22&gt;0,Simulador!$D$22,Simulador!$O$24)*Simulador!$AA$43)),0)</f>
        <v>0</v>
      </c>
      <c r="BA184" s="73"/>
      <c r="BB184" s="70">
        <f t="shared" si="84"/>
        <v>0</v>
      </c>
      <c r="BC184">
        <f t="shared" si="94"/>
        <v>0</v>
      </c>
      <c r="BD184" s="431">
        <f t="shared" si="95"/>
      </c>
      <c r="BE184" s="432">
        <f t="shared" si="96"/>
        <v>0</v>
      </c>
      <c r="BF184" s="69">
        <v>170</v>
      </c>
      <c r="BG184" s="38"/>
      <c r="BJ184" s="69"/>
      <c r="BM184" s="432"/>
    </row>
    <row r="185" spans="1:65" ht="12">
      <c r="A185" s="531">
        <v>171</v>
      </c>
      <c r="B185" s="106">
        <f t="shared" si="97"/>
        <v>0</v>
      </c>
      <c r="C185" s="106"/>
      <c r="D185" s="107">
        <f>IF(B185+F185-D184&lt;=0,B185+F185,IF(AND(OR(Simulador!$U$38=2,Simulador!$U$38=7),J184=0),D184*(1+AA185),IF($AE$3=2,B185*AQ185,D184*(1+AA185))))</f>
        <v>0</v>
      </c>
      <c r="E185" s="107"/>
      <c r="F185" s="107">
        <f t="shared" si="78"/>
        <v>0</v>
      </c>
      <c r="G185" s="107"/>
      <c r="H185" s="107">
        <f t="shared" si="98"/>
        <v>0</v>
      </c>
      <c r="I185" s="108"/>
      <c r="J185" s="109"/>
      <c r="K185" s="108"/>
      <c r="L185" s="107">
        <f>IF(Simulador!$T$40=1,0,J185*Simulador!$W$38*1.16)</f>
        <v>0</v>
      </c>
      <c r="M185" s="107"/>
      <c r="N185" s="111"/>
      <c r="O185" s="13"/>
      <c r="P185" s="664">
        <f t="shared" si="79"/>
      </c>
      <c r="Q185" s="3"/>
      <c r="R185" s="107">
        <f t="shared" si="85"/>
        <v>0</v>
      </c>
      <c r="S185" s="107"/>
      <c r="T185" s="107">
        <f>_xlfn.IFERROR(IF(Simulador!$U$29=1,0,IF($B185&lt;=0,0,$B185*Simulador!$AA$42)),0)</f>
        <v>0</v>
      </c>
      <c r="U185" s="107"/>
      <c r="V185" s="107">
        <f>_xlfn.IFERROR(IF(Simulador!$U$29=1,0,IF($B185&lt;=0,0,IF(Simulador!$D$22&gt;0,Simulador!$D$22,Simulador!$O$24)*Simulador!$AA$43)),0)</f>
        <v>0</v>
      </c>
      <c r="W185" s="107"/>
      <c r="X185" s="107"/>
      <c r="Y185" s="107">
        <f t="shared" si="80"/>
        <v>0</v>
      </c>
      <c r="Z185" s="14"/>
      <c r="AA185" s="19"/>
      <c r="AB185" s="24"/>
      <c r="AC185" s="303">
        <v>14</v>
      </c>
      <c r="AD185" s="301">
        <v>3</v>
      </c>
      <c r="AE185" s="400">
        <f t="shared" si="86"/>
        <v>0</v>
      </c>
      <c r="AF185" s="279">
        <f t="shared" si="87"/>
        <v>0</v>
      </c>
      <c r="AG185" s="279">
        <f t="shared" si="88"/>
        <v>0</v>
      </c>
      <c r="AH185" s="418">
        <f t="shared" si="89"/>
        <v>0</v>
      </c>
      <c r="AI185" s="296">
        <f>IF(Simulador!$T$67=1,'Tabla de amortizacion'!AJ185,'Tabla de amortizacion'!AR185)</f>
        <v>0.09</v>
      </c>
      <c r="AJ185" s="297">
        <f aca="true" t="shared" si="103" ref="AJ185:AJ194">AJ184</f>
        <v>0.09</v>
      </c>
      <c r="AK185" s="298">
        <f t="shared" si="90"/>
        <v>0</v>
      </c>
      <c r="AL185" s="298"/>
      <c r="AM185" s="304"/>
      <c r="AN185" s="520">
        <f t="shared" si="77"/>
        <v>0.092</v>
      </c>
      <c r="AO185" s="520">
        <f t="shared" si="77"/>
        <v>0.092</v>
      </c>
      <c r="AP185" s="299">
        <v>0</v>
      </c>
      <c r="AQ185" s="414">
        <f t="shared" si="91"/>
        <v>0</v>
      </c>
      <c r="AR185" s="300">
        <f>IF(AND(Simulador!$T$67=2,Simulador!$T$61=1),AL185,IF(AND(Simulador!$T$67=2,Simulador!$T$61=2),AM185,IF(AND(Simulador!$T$67=2,Simulador!$T$61=3),AN185,AO185)))</f>
        <v>0.092</v>
      </c>
      <c r="AS185" s="281"/>
      <c r="AT185" s="70">
        <f t="shared" si="100"/>
        <v>0</v>
      </c>
      <c r="AU185" s="70">
        <f t="shared" si="92"/>
        <v>0</v>
      </c>
      <c r="AV185" s="71">
        <f t="shared" si="81"/>
        <v>0</v>
      </c>
      <c r="AW185" s="70">
        <f t="shared" si="82"/>
        <v>0</v>
      </c>
      <c r="AX185" s="70">
        <f t="shared" si="93"/>
        <v>0</v>
      </c>
      <c r="AY185" s="72">
        <f t="shared" si="83"/>
      </c>
      <c r="AZ185" s="70">
        <f>_xlfn.IFERROR(IF(Simulador!$U$29=1,0,IF($AT185&lt;=0.01,0,$AT185*Simulador!$AA$42)),0)+_xlfn.IFERROR(IF(Simulador!$U$29=1,0,IF($AT185&lt;=0.01,0,IF(Simulador!$D$22&gt;0,Simulador!$D$22,Simulador!$O$24)*Simulador!$AA$43)),0)</f>
        <v>0</v>
      </c>
      <c r="BA185" s="73"/>
      <c r="BB185" s="70">
        <f t="shared" si="84"/>
        <v>0</v>
      </c>
      <c r="BC185">
        <f t="shared" si="94"/>
        <v>0</v>
      </c>
      <c r="BD185" s="431">
        <f t="shared" si="95"/>
      </c>
      <c r="BE185" s="432">
        <f t="shared" si="96"/>
        <v>0</v>
      </c>
      <c r="BF185" s="69">
        <v>171</v>
      </c>
      <c r="BG185" s="38"/>
      <c r="BJ185" s="69"/>
      <c r="BM185" s="432"/>
    </row>
    <row r="186" spans="1:65" ht="12">
      <c r="A186" s="531">
        <v>172</v>
      </c>
      <c r="B186" s="106">
        <f t="shared" si="97"/>
        <v>0</v>
      </c>
      <c r="C186" s="106"/>
      <c r="D186" s="107">
        <f>IF(B186+F186-D185&lt;=0,B186+F186,IF(AND(OR(Simulador!$U$38=2,Simulador!$U$38=7),J185=0),D185*(1+AA186),IF($AE$3=2,B186*AQ186,D185*(1+AA186))))</f>
        <v>0</v>
      </c>
      <c r="E186" s="107"/>
      <c r="F186" s="107">
        <f t="shared" si="78"/>
        <v>0</v>
      </c>
      <c r="G186" s="107"/>
      <c r="H186" s="107">
        <f t="shared" si="98"/>
        <v>0</v>
      </c>
      <c r="I186" s="108"/>
      <c r="J186" s="109"/>
      <c r="K186" s="108"/>
      <c r="L186" s="107">
        <f>IF(Simulador!$T$40=1,0,J186*Simulador!$W$38*1.16)</f>
        <v>0</v>
      </c>
      <c r="M186" s="107"/>
      <c r="N186" s="110">
        <f>IF(B186-H186=0,0,N184)</f>
        <v>0</v>
      </c>
      <c r="O186" s="13"/>
      <c r="P186" s="664">
        <f t="shared" si="79"/>
      </c>
      <c r="Q186" s="3"/>
      <c r="R186" s="107">
        <f t="shared" si="85"/>
        <v>0</v>
      </c>
      <c r="S186" s="107"/>
      <c r="T186" s="107">
        <f>_xlfn.IFERROR(IF(Simulador!$U$29=1,0,IF($B186&lt;=0,0,$B186*Simulador!$AA$42)),0)</f>
        <v>0</v>
      </c>
      <c r="U186" s="107"/>
      <c r="V186" s="107">
        <f>_xlfn.IFERROR(IF(Simulador!$U$29=1,0,IF($B186&lt;=0,0,IF(Simulador!$D$22&gt;0,Simulador!$D$22,Simulador!$O$24)*Simulador!$AA$43)),0)</f>
        <v>0</v>
      </c>
      <c r="W186" s="107"/>
      <c r="X186" s="107"/>
      <c r="Y186" s="107">
        <f t="shared" si="80"/>
        <v>0</v>
      </c>
      <c r="Z186" s="14"/>
      <c r="AA186" s="19"/>
      <c r="AB186" s="24"/>
      <c r="AC186" s="303">
        <v>14</v>
      </c>
      <c r="AD186" s="295">
        <v>4</v>
      </c>
      <c r="AE186" s="400">
        <f t="shared" si="86"/>
        <v>0</v>
      </c>
      <c r="AF186" s="279">
        <f t="shared" si="87"/>
        <v>0</v>
      </c>
      <c r="AG186" s="279">
        <f t="shared" si="88"/>
        <v>0</v>
      </c>
      <c r="AH186" s="418">
        <f t="shared" si="89"/>
        <v>0</v>
      </c>
      <c r="AI186" s="296">
        <f>IF(Simulador!$T$67=1,'Tabla de amortizacion'!AJ186,'Tabla de amortizacion'!AR186)</f>
        <v>0.09</v>
      </c>
      <c r="AJ186" s="297">
        <f t="shared" si="103"/>
        <v>0.09</v>
      </c>
      <c r="AK186" s="298">
        <f t="shared" si="90"/>
        <v>0</v>
      </c>
      <c r="AL186" s="298"/>
      <c r="AM186" s="304"/>
      <c r="AN186" s="520">
        <f t="shared" si="77"/>
        <v>0.092</v>
      </c>
      <c r="AO186" s="520">
        <f t="shared" si="77"/>
        <v>0.092</v>
      </c>
      <c r="AP186" s="299">
        <v>0</v>
      </c>
      <c r="AQ186" s="414">
        <f t="shared" si="91"/>
        <v>0</v>
      </c>
      <c r="AR186" s="300">
        <f>IF(AND(Simulador!$T$67=2,Simulador!$T$61=1),AL186,IF(AND(Simulador!$T$67=2,Simulador!$T$61=2),AM186,IF(AND(Simulador!$T$67=2,Simulador!$T$61=3),AN186,AO186)))</f>
        <v>0.092</v>
      </c>
      <c r="AS186" s="281"/>
      <c r="AT186" s="70">
        <f t="shared" si="100"/>
        <v>0</v>
      </c>
      <c r="AU186" s="70">
        <f t="shared" si="92"/>
        <v>0</v>
      </c>
      <c r="AV186" s="71">
        <f t="shared" si="81"/>
        <v>0</v>
      </c>
      <c r="AW186" s="70">
        <f t="shared" si="82"/>
        <v>0</v>
      </c>
      <c r="AX186" s="70">
        <f t="shared" si="93"/>
        <v>0</v>
      </c>
      <c r="AY186" s="72">
        <f t="shared" si="83"/>
      </c>
      <c r="AZ186" s="70">
        <f>_xlfn.IFERROR(IF(Simulador!$U$29=1,0,IF($AT186&lt;=0.01,0,$AT186*Simulador!$AA$42)),0)+_xlfn.IFERROR(IF(Simulador!$U$29=1,0,IF($AT186&lt;=0.01,0,IF(Simulador!$D$22&gt;0,Simulador!$D$22,Simulador!$O$24)*Simulador!$AA$43)),0)</f>
        <v>0</v>
      </c>
      <c r="BA186" s="73"/>
      <c r="BB186" s="70">
        <f t="shared" si="84"/>
        <v>0</v>
      </c>
      <c r="BC186">
        <f t="shared" si="94"/>
        <v>0</v>
      </c>
      <c r="BD186" s="431">
        <f t="shared" si="95"/>
      </c>
      <c r="BE186" s="432">
        <f t="shared" si="96"/>
        <v>0</v>
      </c>
      <c r="BF186" s="69">
        <v>172</v>
      </c>
      <c r="BG186" s="38"/>
      <c r="BJ186" s="69"/>
      <c r="BM186" s="432"/>
    </row>
    <row r="187" spans="1:65" ht="12">
      <c r="A187" s="531">
        <v>173</v>
      </c>
      <c r="B187" s="106">
        <f t="shared" si="97"/>
        <v>0</v>
      </c>
      <c r="C187" s="106"/>
      <c r="D187" s="107">
        <f>IF(B187+F187-D186&lt;=0,B187+F187,IF(AND(OR(Simulador!$U$38=2,Simulador!$U$38=7),J186=0),D186*(1+AA187),IF($AE$3=2,B187*AQ187,D186*(1+AA187))))</f>
        <v>0</v>
      </c>
      <c r="E187" s="107"/>
      <c r="F187" s="107">
        <f t="shared" si="78"/>
        <v>0</v>
      </c>
      <c r="G187" s="107"/>
      <c r="H187" s="107">
        <f t="shared" si="98"/>
        <v>0</v>
      </c>
      <c r="I187" s="108"/>
      <c r="J187" s="109"/>
      <c r="K187" s="108"/>
      <c r="L187" s="107">
        <f>IF(Simulador!$T$40=1,0,J187*Simulador!$W$38*1.16)</f>
        <v>0</v>
      </c>
      <c r="M187" s="107"/>
      <c r="N187" s="111"/>
      <c r="O187" s="13"/>
      <c r="P187" s="664">
        <f t="shared" si="79"/>
      </c>
      <c r="Q187" s="3"/>
      <c r="R187" s="107">
        <f t="shared" si="85"/>
        <v>0</v>
      </c>
      <c r="S187" s="107"/>
      <c r="T187" s="107">
        <f>_xlfn.IFERROR(IF(Simulador!$U$29=1,0,IF($B187&lt;=0,0,$B187*Simulador!$AA$42)),0)</f>
        <v>0</v>
      </c>
      <c r="U187" s="107"/>
      <c r="V187" s="107">
        <f>_xlfn.IFERROR(IF(Simulador!$U$29=1,0,IF($B187&lt;=0,0,IF(Simulador!$D$22&gt;0,Simulador!$D$22,Simulador!$O$24)*Simulador!$AA$43)),0)</f>
        <v>0</v>
      </c>
      <c r="W187" s="107"/>
      <c r="X187" s="107"/>
      <c r="Y187" s="107">
        <f t="shared" si="80"/>
        <v>0</v>
      </c>
      <c r="Z187" s="14"/>
      <c r="AA187" s="19"/>
      <c r="AB187" s="24"/>
      <c r="AC187" s="303">
        <v>14</v>
      </c>
      <c r="AD187" s="295">
        <v>5</v>
      </c>
      <c r="AE187" s="400">
        <f t="shared" si="86"/>
        <v>0</v>
      </c>
      <c r="AF187" s="279">
        <f t="shared" si="87"/>
        <v>0</v>
      </c>
      <c r="AG187" s="279">
        <f t="shared" si="88"/>
        <v>0</v>
      </c>
      <c r="AH187" s="418">
        <f t="shared" si="89"/>
        <v>0</v>
      </c>
      <c r="AI187" s="296">
        <f>IF(Simulador!$T$67=1,'Tabla de amortizacion'!AJ187,'Tabla de amortizacion'!AR187)</f>
        <v>0.09</v>
      </c>
      <c r="AJ187" s="297">
        <f t="shared" si="103"/>
        <v>0.09</v>
      </c>
      <c r="AK187" s="298">
        <f t="shared" si="90"/>
        <v>0</v>
      </c>
      <c r="AL187" s="298"/>
      <c r="AM187" s="304"/>
      <c r="AN187" s="520">
        <f t="shared" si="77"/>
        <v>0.092</v>
      </c>
      <c r="AO187" s="520">
        <f t="shared" si="77"/>
        <v>0.092</v>
      </c>
      <c r="AP187" s="299">
        <v>0</v>
      </c>
      <c r="AQ187" s="414">
        <f t="shared" si="91"/>
        <v>0</v>
      </c>
      <c r="AR187" s="300">
        <f>IF(AND(Simulador!$T$67=2,Simulador!$T$61=1),AL187,IF(AND(Simulador!$T$67=2,Simulador!$T$61=2),AM187,IF(AND(Simulador!$T$67=2,Simulador!$T$61=3),AN187,AO187)))</f>
        <v>0.092</v>
      </c>
      <c r="AS187" s="281"/>
      <c r="AT187" s="70">
        <f t="shared" si="100"/>
        <v>0</v>
      </c>
      <c r="AU187" s="70">
        <f t="shared" si="92"/>
        <v>0</v>
      </c>
      <c r="AV187" s="71">
        <f t="shared" si="81"/>
        <v>0</v>
      </c>
      <c r="AW187" s="70">
        <f t="shared" si="82"/>
        <v>0</v>
      </c>
      <c r="AX187" s="70">
        <f t="shared" si="93"/>
        <v>0</v>
      </c>
      <c r="AY187" s="72">
        <f t="shared" si="83"/>
      </c>
      <c r="AZ187" s="70">
        <f>_xlfn.IFERROR(IF(Simulador!$U$29=1,0,IF($AT187&lt;=0.01,0,$AT187*Simulador!$AA$42)),0)+_xlfn.IFERROR(IF(Simulador!$U$29=1,0,IF($AT187&lt;=0.01,0,IF(Simulador!$D$22&gt;0,Simulador!$D$22,Simulador!$O$24)*Simulador!$AA$43)),0)</f>
        <v>0</v>
      </c>
      <c r="BA187" s="73"/>
      <c r="BB187" s="70">
        <f t="shared" si="84"/>
        <v>0</v>
      </c>
      <c r="BC187">
        <f t="shared" si="94"/>
        <v>0</v>
      </c>
      <c r="BD187" s="431">
        <f t="shared" si="95"/>
      </c>
      <c r="BE187" s="432">
        <f t="shared" si="96"/>
        <v>0</v>
      </c>
      <c r="BF187" s="69">
        <v>173</v>
      </c>
      <c r="BG187" s="38"/>
      <c r="BJ187" s="69"/>
      <c r="BM187" s="432"/>
    </row>
    <row r="188" spans="1:65" ht="12">
      <c r="A188" s="531">
        <v>174</v>
      </c>
      <c r="B188" s="106">
        <f t="shared" si="97"/>
        <v>0</v>
      </c>
      <c r="C188" s="106"/>
      <c r="D188" s="107">
        <f>IF(B188+F188-D187&lt;=0,B188+F188,IF(AND(OR(Simulador!$U$38=2,Simulador!$U$38=7),J187=0),D187*(1+AA188),IF($AE$3=2,B188*AQ188,D187*(1+AA188))))</f>
        <v>0</v>
      </c>
      <c r="E188" s="107"/>
      <c r="F188" s="107">
        <f t="shared" si="78"/>
        <v>0</v>
      </c>
      <c r="G188" s="107"/>
      <c r="H188" s="107">
        <f t="shared" si="98"/>
        <v>0</v>
      </c>
      <c r="I188" s="108"/>
      <c r="J188" s="109"/>
      <c r="K188" s="108"/>
      <c r="L188" s="107">
        <f>IF(Simulador!$T$40=1,0,J188*Simulador!$W$38*1.16)</f>
        <v>0</v>
      </c>
      <c r="M188" s="107"/>
      <c r="N188" s="110">
        <f>IF(B188-H188=0,0,N186)</f>
        <v>0</v>
      </c>
      <c r="O188" s="13"/>
      <c r="P188" s="664">
        <f t="shared" si="79"/>
      </c>
      <c r="Q188" s="3"/>
      <c r="R188" s="107">
        <f t="shared" si="85"/>
        <v>0</v>
      </c>
      <c r="S188" s="107"/>
      <c r="T188" s="107">
        <f>_xlfn.IFERROR(IF(Simulador!$U$29=1,0,IF($B188&lt;=0,0,$B188*Simulador!$AA$42)),0)</f>
        <v>0</v>
      </c>
      <c r="U188" s="107"/>
      <c r="V188" s="107">
        <f>_xlfn.IFERROR(IF(Simulador!$U$29=1,0,IF($B188&lt;=0,0,IF(Simulador!$D$22&gt;0,Simulador!$D$22,Simulador!$O$24)*Simulador!$AA$43)),0)</f>
        <v>0</v>
      </c>
      <c r="W188" s="107"/>
      <c r="X188" s="107"/>
      <c r="Y188" s="107">
        <f t="shared" si="80"/>
        <v>0</v>
      </c>
      <c r="Z188" s="14"/>
      <c r="AA188" s="19"/>
      <c r="AB188" s="24"/>
      <c r="AC188" s="303">
        <v>14</v>
      </c>
      <c r="AD188" s="295">
        <v>6</v>
      </c>
      <c r="AE188" s="400">
        <f t="shared" si="86"/>
        <v>0</v>
      </c>
      <c r="AF188" s="279">
        <f t="shared" si="87"/>
        <v>0</v>
      </c>
      <c r="AG188" s="279">
        <f t="shared" si="88"/>
        <v>0</v>
      </c>
      <c r="AH188" s="418">
        <f t="shared" si="89"/>
        <v>0</v>
      </c>
      <c r="AI188" s="296">
        <f>IF(Simulador!$T$67=1,'Tabla de amortizacion'!AJ188,'Tabla de amortizacion'!AR188)</f>
        <v>0.09</v>
      </c>
      <c r="AJ188" s="297">
        <f t="shared" si="103"/>
        <v>0.09</v>
      </c>
      <c r="AK188" s="298">
        <f t="shared" si="90"/>
        <v>0</v>
      </c>
      <c r="AL188" s="298"/>
      <c r="AM188" s="304"/>
      <c r="AN188" s="520">
        <f t="shared" si="77"/>
        <v>0.092</v>
      </c>
      <c r="AO188" s="520">
        <f t="shared" si="77"/>
        <v>0.092</v>
      </c>
      <c r="AP188" s="299">
        <v>0</v>
      </c>
      <c r="AQ188" s="414">
        <f t="shared" si="91"/>
        <v>0</v>
      </c>
      <c r="AR188" s="300">
        <f>IF(AND(Simulador!$T$67=2,Simulador!$T$61=1),AL188,IF(AND(Simulador!$T$67=2,Simulador!$T$61=2),AM188,IF(AND(Simulador!$T$67=2,Simulador!$T$61=3),AN188,AO188)))</f>
        <v>0.092</v>
      </c>
      <c r="AS188" s="281"/>
      <c r="AT188" s="70">
        <f t="shared" si="100"/>
        <v>0</v>
      </c>
      <c r="AU188" s="70">
        <f t="shared" si="92"/>
        <v>0</v>
      </c>
      <c r="AV188" s="71">
        <f t="shared" si="81"/>
        <v>0</v>
      </c>
      <c r="AW188" s="70">
        <f t="shared" si="82"/>
        <v>0</v>
      </c>
      <c r="AX188" s="70">
        <f t="shared" si="93"/>
        <v>0</v>
      </c>
      <c r="AY188" s="72">
        <f t="shared" si="83"/>
      </c>
      <c r="AZ188" s="70">
        <f>_xlfn.IFERROR(IF(Simulador!$U$29=1,0,IF($AT188&lt;=0.01,0,$AT188*Simulador!$AA$42)),0)+_xlfn.IFERROR(IF(Simulador!$U$29=1,0,IF($AT188&lt;=0.01,0,IF(Simulador!$D$22&gt;0,Simulador!$D$22,Simulador!$O$24)*Simulador!$AA$43)),0)</f>
        <v>0</v>
      </c>
      <c r="BA188" s="73"/>
      <c r="BB188" s="70">
        <f t="shared" si="84"/>
        <v>0</v>
      </c>
      <c r="BC188">
        <f t="shared" si="94"/>
        <v>0</v>
      </c>
      <c r="BD188" s="431">
        <f t="shared" si="95"/>
      </c>
      <c r="BE188" s="432">
        <f t="shared" si="96"/>
        <v>0</v>
      </c>
      <c r="BF188" s="69">
        <v>174</v>
      </c>
      <c r="BG188" s="38"/>
      <c r="BJ188" s="69"/>
      <c r="BM188" s="432"/>
    </row>
    <row r="189" spans="1:65" ht="12">
      <c r="A189" s="531">
        <v>175</v>
      </c>
      <c r="B189" s="106">
        <f t="shared" si="97"/>
        <v>0</v>
      </c>
      <c r="C189" s="106"/>
      <c r="D189" s="107">
        <f>IF(B189+F189-D188&lt;=0,B189+F189,IF(AND(OR(Simulador!$U$38=2,Simulador!$U$38=7),J188=0),D188*(1+AA189),IF($AE$3=2,B189*AQ189,D188*(1+AA189))))</f>
        <v>0</v>
      </c>
      <c r="E189" s="107"/>
      <c r="F189" s="107">
        <f t="shared" si="78"/>
        <v>0</v>
      </c>
      <c r="G189" s="107"/>
      <c r="H189" s="107">
        <f t="shared" si="98"/>
        <v>0</v>
      </c>
      <c r="I189" s="108"/>
      <c r="J189" s="109"/>
      <c r="K189" s="108"/>
      <c r="L189" s="107">
        <f>IF(Simulador!$T$40=1,0,J189*Simulador!$W$38*1.16)</f>
        <v>0</v>
      </c>
      <c r="M189" s="107"/>
      <c r="N189" s="111"/>
      <c r="O189" s="13"/>
      <c r="P189" s="664">
        <f t="shared" si="79"/>
      </c>
      <c r="Q189" s="3"/>
      <c r="R189" s="107">
        <f t="shared" si="85"/>
        <v>0</v>
      </c>
      <c r="S189" s="107"/>
      <c r="T189" s="107">
        <f>_xlfn.IFERROR(IF(Simulador!$U$29=1,0,IF($B189&lt;=0,0,$B189*Simulador!$AA$42)),0)</f>
        <v>0</v>
      </c>
      <c r="U189" s="107"/>
      <c r="V189" s="107">
        <f>_xlfn.IFERROR(IF(Simulador!$U$29=1,0,IF($B189&lt;=0,0,IF(Simulador!$D$22&gt;0,Simulador!$D$22,Simulador!$O$24)*Simulador!$AA$43)),0)</f>
        <v>0</v>
      </c>
      <c r="W189" s="107"/>
      <c r="X189" s="107"/>
      <c r="Y189" s="107">
        <f t="shared" si="80"/>
        <v>0</v>
      </c>
      <c r="Z189" s="14"/>
      <c r="AA189" s="19"/>
      <c r="AB189" s="24"/>
      <c r="AC189" s="303">
        <v>14</v>
      </c>
      <c r="AD189" s="295">
        <v>7</v>
      </c>
      <c r="AE189" s="400">
        <f t="shared" si="86"/>
        <v>0</v>
      </c>
      <c r="AF189" s="279">
        <f t="shared" si="87"/>
        <v>0</v>
      </c>
      <c r="AG189" s="279">
        <f t="shared" si="88"/>
        <v>0</v>
      </c>
      <c r="AH189" s="418">
        <f t="shared" si="89"/>
        <v>0</v>
      </c>
      <c r="AI189" s="296">
        <f>IF(Simulador!$T$67=1,'Tabla de amortizacion'!AJ189,'Tabla de amortizacion'!AR189)</f>
        <v>0.09</v>
      </c>
      <c r="AJ189" s="297">
        <f t="shared" si="103"/>
        <v>0.09</v>
      </c>
      <c r="AK189" s="298">
        <f t="shared" si="90"/>
        <v>0</v>
      </c>
      <c r="AL189" s="298"/>
      <c r="AM189" s="304"/>
      <c r="AN189" s="520">
        <f t="shared" si="77"/>
        <v>0.092</v>
      </c>
      <c r="AO189" s="520">
        <f t="shared" si="77"/>
        <v>0.092</v>
      </c>
      <c r="AP189" s="299">
        <v>0</v>
      </c>
      <c r="AQ189" s="414">
        <f t="shared" si="91"/>
        <v>0</v>
      </c>
      <c r="AR189" s="300">
        <f>IF(AND(Simulador!$T$67=2,Simulador!$T$61=1),AL189,IF(AND(Simulador!$T$67=2,Simulador!$T$61=2),AM189,IF(AND(Simulador!$T$67=2,Simulador!$T$61=3),AN189,AO189)))</f>
        <v>0.092</v>
      </c>
      <c r="AS189" s="281"/>
      <c r="AT189" s="70">
        <f t="shared" si="100"/>
        <v>0</v>
      </c>
      <c r="AU189" s="70">
        <f t="shared" si="92"/>
        <v>0</v>
      </c>
      <c r="AV189" s="71">
        <f t="shared" si="81"/>
        <v>0</v>
      </c>
      <c r="AW189" s="70">
        <f t="shared" si="82"/>
        <v>0</v>
      </c>
      <c r="AX189" s="70">
        <f t="shared" si="93"/>
        <v>0</v>
      </c>
      <c r="AY189" s="72">
        <f t="shared" si="83"/>
      </c>
      <c r="AZ189" s="70">
        <f>_xlfn.IFERROR(IF(Simulador!$U$29=1,0,IF($AT189&lt;=0.01,0,$AT189*Simulador!$AA$42)),0)+_xlfn.IFERROR(IF(Simulador!$U$29=1,0,IF($AT189&lt;=0.01,0,IF(Simulador!$D$22&gt;0,Simulador!$D$22,Simulador!$O$24)*Simulador!$AA$43)),0)</f>
        <v>0</v>
      </c>
      <c r="BA189" s="73"/>
      <c r="BB189" s="70">
        <f t="shared" si="84"/>
        <v>0</v>
      </c>
      <c r="BC189">
        <f t="shared" si="94"/>
        <v>0</v>
      </c>
      <c r="BD189" s="431">
        <f t="shared" si="95"/>
      </c>
      <c r="BE189" s="432">
        <f t="shared" si="96"/>
        <v>0</v>
      </c>
      <c r="BF189" s="69">
        <v>175</v>
      </c>
      <c r="BG189" s="38"/>
      <c r="BJ189" s="69"/>
      <c r="BM189" s="432"/>
    </row>
    <row r="190" spans="1:65" ht="12">
      <c r="A190" s="531">
        <v>176</v>
      </c>
      <c r="B190" s="106">
        <f t="shared" si="97"/>
        <v>0</v>
      </c>
      <c r="C190" s="106"/>
      <c r="D190" s="107">
        <f>IF(B190+F190-D189&lt;=0,B190+F190,IF(AND(OR(Simulador!$U$38=2,Simulador!$U$38=7),J189=0),D189*(1+AA190),IF($AE$3=2,B190*AQ190,D189*(1+AA190))))</f>
        <v>0</v>
      </c>
      <c r="E190" s="107"/>
      <c r="F190" s="107">
        <f t="shared" si="78"/>
        <v>0</v>
      </c>
      <c r="G190" s="107"/>
      <c r="H190" s="107">
        <f t="shared" si="98"/>
        <v>0</v>
      </c>
      <c r="I190" s="108"/>
      <c r="J190" s="109"/>
      <c r="K190" s="108"/>
      <c r="L190" s="107">
        <f>IF(Simulador!$T$40=1,0,J190*Simulador!$W$38*1.16)</f>
        <v>0</v>
      </c>
      <c r="M190" s="107"/>
      <c r="N190" s="110">
        <f>IF(B190-H190=0,0,N188)</f>
        <v>0</v>
      </c>
      <c r="O190" s="13"/>
      <c r="P190" s="664">
        <f t="shared" si="79"/>
      </c>
      <c r="Q190" s="3"/>
      <c r="R190" s="107">
        <f t="shared" si="85"/>
        <v>0</v>
      </c>
      <c r="S190" s="107"/>
      <c r="T190" s="107">
        <f>_xlfn.IFERROR(IF(Simulador!$U$29=1,0,IF($B190&lt;=0,0,$B190*Simulador!$AA$42)),0)</f>
        <v>0</v>
      </c>
      <c r="U190" s="107"/>
      <c r="V190" s="107">
        <f>_xlfn.IFERROR(IF(Simulador!$U$29=1,0,IF($B190&lt;=0,0,IF(Simulador!$D$22&gt;0,Simulador!$D$22,Simulador!$O$24)*Simulador!$AA$43)),0)</f>
        <v>0</v>
      </c>
      <c r="W190" s="107"/>
      <c r="X190" s="107"/>
      <c r="Y190" s="107">
        <f t="shared" si="80"/>
        <v>0</v>
      </c>
      <c r="Z190" s="14"/>
      <c r="AA190" s="19"/>
      <c r="AB190" s="24"/>
      <c r="AC190" s="303">
        <v>14</v>
      </c>
      <c r="AD190" s="295">
        <v>8</v>
      </c>
      <c r="AE190" s="400">
        <f t="shared" si="86"/>
        <v>0</v>
      </c>
      <c r="AF190" s="279">
        <f t="shared" si="87"/>
        <v>0</v>
      </c>
      <c r="AG190" s="279">
        <f t="shared" si="88"/>
        <v>0</v>
      </c>
      <c r="AH190" s="418">
        <f t="shared" si="89"/>
        <v>0</v>
      </c>
      <c r="AI190" s="296">
        <f>IF(Simulador!$T$67=1,'Tabla de amortizacion'!AJ190,'Tabla de amortizacion'!AR190)</f>
        <v>0.09</v>
      </c>
      <c r="AJ190" s="297">
        <f t="shared" si="103"/>
        <v>0.09</v>
      </c>
      <c r="AK190" s="298">
        <f t="shared" si="90"/>
        <v>0</v>
      </c>
      <c r="AL190" s="298"/>
      <c r="AM190" s="304"/>
      <c r="AN190" s="520">
        <f t="shared" si="77"/>
        <v>0.092</v>
      </c>
      <c r="AO190" s="520">
        <f t="shared" si="77"/>
        <v>0.092</v>
      </c>
      <c r="AP190" s="299">
        <v>0</v>
      </c>
      <c r="AQ190" s="414">
        <f t="shared" si="91"/>
        <v>0</v>
      </c>
      <c r="AR190" s="300">
        <f>IF(AND(Simulador!$T$67=2,Simulador!$T$61=1),AL190,IF(AND(Simulador!$T$67=2,Simulador!$T$61=2),AM190,IF(AND(Simulador!$T$67=2,Simulador!$T$61=3),AN190,AO190)))</f>
        <v>0.092</v>
      </c>
      <c r="AS190" s="281"/>
      <c r="AT190" s="70">
        <f t="shared" si="100"/>
        <v>0</v>
      </c>
      <c r="AU190" s="70">
        <f t="shared" si="92"/>
        <v>0</v>
      </c>
      <c r="AV190" s="71">
        <f t="shared" si="81"/>
        <v>0</v>
      </c>
      <c r="AW190" s="70">
        <f t="shared" si="82"/>
        <v>0</v>
      </c>
      <c r="AX190" s="70">
        <f t="shared" si="93"/>
        <v>0</v>
      </c>
      <c r="AY190" s="72">
        <f t="shared" si="83"/>
      </c>
      <c r="AZ190" s="70">
        <f>_xlfn.IFERROR(IF(Simulador!$U$29=1,0,IF($AT190&lt;=0.01,0,$AT190*Simulador!$AA$42)),0)+_xlfn.IFERROR(IF(Simulador!$U$29=1,0,IF($AT190&lt;=0.01,0,IF(Simulador!$D$22&gt;0,Simulador!$D$22,Simulador!$O$24)*Simulador!$AA$43)),0)</f>
        <v>0</v>
      </c>
      <c r="BA190" s="73"/>
      <c r="BB190" s="70">
        <f t="shared" si="84"/>
        <v>0</v>
      </c>
      <c r="BC190">
        <f t="shared" si="94"/>
        <v>0</v>
      </c>
      <c r="BD190" s="431">
        <f t="shared" si="95"/>
      </c>
      <c r="BE190" s="432">
        <f t="shared" si="96"/>
        <v>0</v>
      </c>
      <c r="BF190" s="69">
        <v>176</v>
      </c>
      <c r="BG190" s="38"/>
      <c r="BJ190" s="69"/>
      <c r="BM190" s="432"/>
    </row>
    <row r="191" spans="1:65" ht="12">
      <c r="A191" s="531">
        <v>177</v>
      </c>
      <c r="B191" s="106">
        <f t="shared" si="97"/>
        <v>0</v>
      </c>
      <c r="C191" s="106"/>
      <c r="D191" s="107">
        <f>IF(B191+F191-D190&lt;=0,B191+F191,IF(AND(OR(Simulador!$U$38=2,Simulador!$U$38=7),J190=0),D190*(1+AA191),IF($AE$3=2,B191*AQ191,D190*(1+AA191))))</f>
        <v>0</v>
      </c>
      <c r="E191" s="107"/>
      <c r="F191" s="107">
        <f t="shared" si="78"/>
        <v>0</v>
      </c>
      <c r="G191" s="107"/>
      <c r="H191" s="107">
        <f t="shared" si="98"/>
        <v>0</v>
      </c>
      <c r="I191" s="108"/>
      <c r="J191" s="109"/>
      <c r="K191" s="108"/>
      <c r="L191" s="107">
        <f>IF(Simulador!$T$40=1,0,J191*Simulador!$W$38*1.16)</f>
        <v>0</v>
      </c>
      <c r="M191" s="107"/>
      <c r="N191" s="111"/>
      <c r="O191" s="13"/>
      <c r="P191" s="664">
        <f t="shared" si="79"/>
      </c>
      <c r="Q191" s="3"/>
      <c r="R191" s="107">
        <f t="shared" si="85"/>
        <v>0</v>
      </c>
      <c r="S191" s="107"/>
      <c r="T191" s="107">
        <f>_xlfn.IFERROR(IF(Simulador!$U$29=1,0,IF($B191&lt;=0,0,$B191*Simulador!$AA$42)),0)</f>
        <v>0</v>
      </c>
      <c r="U191" s="107"/>
      <c r="V191" s="107">
        <f>_xlfn.IFERROR(IF(Simulador!$U$29=1,0,IF($B191&lt;=0,0,IF(Simulador!$D$22&gt;0,Simulador!$D$22,Simulador!$O$24)*Simulador!$AA$43)),0)</f>
        <v>0</v>
      </c>
      <c r="W191" s="107"/>
      <c r="X191" s="107"/>
      <c r="Y191" s="107">
        <f t="shared" si="80"/>
        <v>0</v>
      </c>
      <c r="Z191" s="14"/>
      <c r="AA191" s="19"/>
      <c r="AB191" s="24"/>
      <c r="AC191" s="303">
        <v>14</v>
      </c>
      <c r="AD191" s="302">
        <v>9</v>
      </c>
      <c r="AE191" s="400">
        <f t="shared" si="86"/>
        <v>0</v>
      </c>
      <c r="AF191" s="279">
        <f t="shared" si="87"/>
        <v>0</v>
      </c>
      <c r="AG191" s="279">
        <f t="shared" si="88"/>
        <v>0</v>
      </c>
      <c r="AH191" s="418">
        <f t="shared" si="89"/>
        <v>0</v>
      </c>
      <c r="AI191" s="296">
        <f>IF(Simulador!$T$67=1,'Tabla de amortizacion'!AJ191,'Tabla de amortizacion'!AR191)</f>
        <v>0.09</v>
      </c>
      <c r="AJ191" s="297">
        <f t="shared" si="103"/>
        <v>0.09</v>
      </c>
      <c r="AK191" s="298">
        <f t="shared" si="90"/>
        <v>0</v>
      </c>
      <c r="AL191" s="298"/>
      <c r="AM191" s="304"/>
      <c r="AN191" s="520">
        <f t="shared" si="77"/>
        <v>0.092</v>
      </c>
      <c r="AO191" s="520">
        <f t="shared" si="77"/>
        <v>0.092</v>
      </c>
      <c r="AP191" s="299">
        <v>0</v>
      </c>
      <c r="AQ191" s="414">
        <f t="shared" si="91"/>
        <v>0</v>
      </c>
      <c r="AR191" s="300">
        <f>IF(AND(Simulador!$T$67=2,Simulador!$T$61=1),AL191,IF(AND(Simulador!$T$67=2,Simulador!$T$61=2),AM191,IF(AND(Simulador!$T$67=2,Simulador!$T$61=3),AN191,AO191)))</f>
        <v>0.092</v>
      </c>
      <c r="AS191" s="281"/>
      <c r="AT191" s="70">
        <f t="shared" si="100"/>
        <v>0</v>
      </c>
      <c r="AU191" s="70">
        <f t="shared" si="92"/>
        <v>0</v>
      </c>
      <c r="AV191" s="71">
        <f t="shared" si="81"/>
        <v>0</v>
      </c>
      <c r="AW191" s="70">
        <f t="shared" si="82"/>
        <v>0</v>
      </c>
      <c r="AX191" s="70">
        <f t="shared" si="93"/>
        <v>0</v>
      </c>
      <c r="AY191" s="72">
        <f t="shared" si="83"/>
      </c>
      <c r="AZ191" s="70">
        <f>_xlfn.IFERROR(IF(Simulador!$U$29=1,0,IF($AT191&lt;=0.01,0,$AT191*Simulador!$AA$42)),0)+_xlfn.IFERROR(IF(Simulador!$U$29=1,0,IF($AT191&lt;=0.01,0,IF(Simulador!$D$22&gt;0,Simulador!$D$22,Simulador!$O$24)*Simulador!$AA$43)),0)</f>
        <v>0</v>
      </c>
      <c r="BA191" s="73"/>
      <c r="BB191" s="70">
        <f t="shared" si="84"/>
        <v>0</v>
      </c>
      <c r="BC191">
        <f t="shared" si="94"/>
        <v>0</v>
      </c>
      <c r="BD191" s="431">
        <f t="shared" si="95"/>
      </c>
      <c r="BE191" s="432">
        <f t="shared" si="96"/>
        <v>0</v>
      </c>
      <c r="BF191" s="69">
        <v>177</v>
      </c>
      <c r="BG191" s="38"/>
      <c r="BJ191" s="69"/>
      <c r="BM191" s="432"/>
    </row>
    <row r="192" spans="1:65" ht="12">
      <c r="A192" s="531">
        <v>178</v>
      </c>
      <c r="B192" s="106">
        <f t="shared" si="97"/>
        <v>0</v>
      </c>
      <c r="C192" s="106"/>
      <c r="D192" s="107">
        <f>IF(B192+F192-D191&lt;=0,B192+F192,IF(AND(OR(Simulador!$U$38=2,Simulador!$U$38=7),J191=0),D191*(1+AA192),IF($AE$3=2,B192*AQ192,D191*(1+AA192))))</f>
        <v>0</v>
      </c>
      <c r="E192" s="107"/>
      <c r="F192" s="107">
        <f t="shared" si="78"/>
        <v>0</v>
      </c>
      <c r="G192" s="107"/>
      <c r="H192" s="107">
        <f t="shared" si="98"/>
        <v>0</v>
      </c>
      <c r="I192" s="108"/>
      <c r="J192" s="109"/>
      <c r="K192" s="108"/>
      <c r="L192" s="107">
        <f>IF(Simulador!$T$40=1,0,J192*Simulador!$W$38*1.16)</f>
        <v>0</v>
      </c>
      <c r="M192" s="107"/>
      <c r="N192" s="110">
        <f>IF(B192-H192=0,0,N190)</f>
        <v>0</v>
      </c>
      <c r="O192" s="13"/>
      <c r="P192" s="664">
        <f t="shared" si="79"/>
      </c>
      <c r="Q192" s="3"/>
      <c r="R192" s="107">
        <f t="shared" si="85"/>
        <v>0</v>
      </c>
      <c r="S192" s="107"/>
      <c r="T192" s="107">
        <f>_xlfn.IFERROR(IF(Simulador!$U$29=1,0,IF($B192&lt;=0,0,$B192*Simulador!$AA$42)),0)</f>
        <v>0</v>
      </c>
      <c r="U192" s="107"/>
      <c r="V192" s="107">
        <f>_xlfn.IFERROR(IF(Simulador!$U$29=1,0,IF($B192&lt;=0,0,IF(Simulador!$D$22&gt;0,Simulador!$D$22,Simulador!$O$24)*Simulador!$AA$43)),0)</f>
        <v>0</v>
      </c>
      <c r="W192" s="107"/>
      <c r="X192" s="107"/>
      <c r="Y192" s="107">
        <f t="shared" si="80"/>
        <v>0</v>
      </c>
      <c r="Z192" s="14"/>
      <c r="AA192" s="19"/>
      <c r="AB192" s="24"/>
      <c r="AC192" s="303">
        <v>14</v>
      </c>
      <c r="AD192" s="302">
        <v>10</v>
      </c>
      <c r="AE192" s="400">
        <f t="shared" si="86"/>
        <v>0</v>
      </c>
      <c r="AF192" s="279">
        <f t="shared" si="87"/>
        <v>0</v>
      </c>
      <c r="AG192" s="279">
        <f t="shared" si="88"/>
        <v>0</v>
      </c>
      <c r="AH192" s="418">
        <f t="shared" si="89"/>
        <v>0</v>
      </c>
      <c r="AI192" s="296">
        <f>IF(Simulador!$T$67=1,'Tabla de amortizacion'!AJ192,'Tabla de amortizacion'!AR192)</f>
        <v>0.09</v>
      </c>
      <c r="AJ192" s="297">
        <f t="shared" si="103"/>
        <v>0.09</v>
      </c>
      <c r="AK192" s="298">
        <f t="shared" si="90"/>
        <v>0</v>
      </c>
      <c r="AL192" s="298"/>
      <c r="AM192" s="304"/>
      <c r="AN192" s="520">
        <f t="shared" si="77"/>
        <v>0.092</v>
      </c>
      <c r="AO192" s="520">
        <f t="shared" si="77"/>
        <v>0.092</v>
      </c>
      <c r="AP192" s="299">
        <v>0</v>
      </c>
      <c r="AQ192" s="414">
        <f t="shared" si="91"/>
        <v>0</v>
      </c>
      <c r="AR192" s="300">
        <f>IF(AND(Simulador!$T$67=2,Simulador!$T$61=1),AL192,IF(AND(Simulador!$T$67=2,Simulador!$T$61=2),AM192,IF(AND(Simulador!$T$67=2,Simulador!$T$61=3),AN192,AO192)))</f>
        <v>0.092</v>
      </c>
      <c r="AS192" s="281"/>
      <c r="AT192" s="70">
        <f t="shared" si="100"/>
        <v>0</v>
      </c>
      <c r="AU192" s="70">
        <f t="shared" si="92"/>
        <v>0</v>
      </c>
      <c r="AV192" s="71">
        <f t="shared" si="81"/>
        <v>0</v>
      </c>
      <c r="AW192" s="70">
        <f t="shared" si="82"/>
        <v>0</v>
      </c>
      <c r="AX192" s="70">
        <f t="shared" si="93"/>
        <v>0</v>
      </c>
      <c r="AY192" s="72">
        <f t="shared" si="83"/>
      </c>
      <c r="AZ192" s="70">
        <f>_xlfn.IFERROR(IF(Simulador!$U$29=1,0,IF($AT192&lt;=0.01,0,$AT192*Simulador!$AA$42)),0)+_xlfn.IFERROR(IF(Simulador!$U$29=1,0,IF($AT192&lt;=0.01,0,IF(Simulador!$D$22&gt;0,Simulador!$D$22,Simulador!$O$24)*Simulador!$AA$43)),0)</f>
        <v>0</v>
      </c>
      <c r="BA192" s="73"/>
      <c r="BB192" s="70">
        <f t="shared" si="84"/>
        <v>0</v>
      </c>
      <c r="BC192">
        <f t="shared" si="94"/>
        <v>0</v>
      </c>
      <c r="BD192" s="431">
        <f t="shared" si="95"/>
      </c>
      <c r="BE192" s="432">
        <f t="shared" si="96"/>
        <v>0</v>
      </c>
      <c r="BF192" s="69">
        <v>178</v>
      </c>
      <c r="BG192" s="38"/>
      <c r="BJ192" s="69"/>
      <c r="BM192" s="432"/>
    </row>
    <row r="193" spans="1:65" ht="12">
      <c r="A193" s="531">
        <v>179</v>
      </c>
      <c r="B193" s="106">
        <f t="shared" si="97"/>
        <v>0</v>
      </c>
      <c r="C193" s="106"/>
      <c r="D193" s="107">
        <f>IF(B193+F193-D192&lt;=0,B193+F193,IF(AND(OR(Simulador!$U$38=2,Simulador!$U$38=7),J192=0),D192*(1+AA193),IF($AE$3=2,B193*AQ193,D192*(1+AA193))))</f>
        <v>0</v>
      </c>
      <c r="E193" s="107"/>
      <c r="F193" s="107">
        <f t="shared" si="78"/>
        <v>0</v>
      </c>
      <c r="G193" s="107"/>
      <c r="H193" s="107">
        <f t="shared" si="98"/>
        <v>0</v>
      </c>
      <c r="I193" s="108"/>
      <c r="J193" s="109"/>
      <c r="K193" s="108"/>
      <c r="L193" s="107">
        <f>IF(Simulador!$T$40=1,0,J193*Simulador!$W$38*1.16)</f>
        <v>0</v>
      </c>
      <c r="M193" s="107"/>
      <c r="N193" s="111"/>
      <c r="O193" s="13"/>
      <c r="P193" s="664">
        <f t="shared" si="79"/>
      </c>
      <c r="Q193" s="3"/>
      <c r="R193" s="107">
        <f t="shared" si="85"/>
        <v>0</v>
      </c>
      <c r="S193" s="107"/>
      <c r="T193" s="107">
        <f>_xlfn.IFERROR(IF(Simulador!$U$29=1,0,IF($B193&lt;=0,0,$B193*Simulador!$AA$42)),0)</f>
        <v>0</v>
      </c>
      <c r="U193" s="107"/>
      <c r="V193" s="107">
        <f>_xlfn.IFERROR(IF(Simulador!$U$29=1,0,IF($B193&lt;=0,0,IF(Simulador!$D$22&gt;0,Simulador!$D$22,Simulador!$O$24)*Simulador!$AA$43)),0)</f>
        <v>0</v>
      </c>
      <c r="W193" s="107"/>
      <c r="X193" s="107"/>
      <c r="Y193" s="107">
        <f t="shared" si="80"/>
        <v>0</v>
      </c>
      <c r="Z193" s="14"/>
      <c r="AA193" s="19"/>
      <c r="AB193" s="24"/>
      <c r="AC193" s="303">
        <v>14</v>
      </c>
      <c r="AD193" s="295">
        <v>11</v>
      </c>
      <c r="AE193" s="400">
        <f t="shared" si="86"/>
        <v>0</v>
      </c>
      <c r="AF193" s="279">
        <f t="shared" si="87"/>
        <v>0</v>
      </c>
      <c r="AG193" s="279">
        <f t="shared" si="88"/>
        <v>0</v>
      </c>
      <c r="AH193" s="418">
        <f t="shared" si="89"/>
        <v>0</v>
      </c>
      <c r="AI193" s="296">
        <f>IF(Simulador!$T$67=1,'Tabla de amortizacion'!AJ193,'Tabla de amortizacion'!AR193)</f>
        <v>0.09</v>
      </c>
      <c r="AJ193" s="297">
        <f t="shared" si="103"/>
        <v>0.09</v>
      </c>
      <c r="AK193" s="298">
        <f t="shared" si="90"/>
        <v>0</v>
      </c>
      <c r="AL193" s="298"/>
      <c r="AM193" s="304"/>
      <c r="AN193" s="520">
        <f t="shared" si="77"/>
        <v>0.092</v>
      </c>
      <c r="AO193" s="520">
        <f t="shared" si="77"/>
        <v>0.092</v>
      </c>
      <c r="AP193" s="299">
        <v>0</v>
      </c>
      <c r="AQ193" s="414">
        <f t="shared" si="91"/>
        <v>0</v>
      </c>
      <c r="AR193" s="300">
        <f>IF(AND(Simulador!$T$67=2,Simulador!$T$61=1),AL193,IF(AND(Simulador!$T$67=2,Simulador!$T$61=2),AM193,IF(AND(Simulador!$T$67=2,Simulador!$T$61=3),AN193,AO193)))</f>
        <v>0.092</v>
      </c>
      <c r="AS193" s="281"/>
      <c r="AT193" s="70">
        <f t="shared" si="100"/>
        <v>0</v>
      </c>
      <c r="AU193" s="70">
        <f t="shared" si="92"/>
        <v>0</v>
      </c>
      <c r="AV193" s="71">
        <f t="shared" si="81"/>
        <v>0</v>
      </c>
      <c r="AW193" s="70">
        <f t="shared" si="82"/>
        <v>0</v>
      </c>
      <c r="AX193" s="70">
        <f t="shared" si="93"/>
        <v>0</v>
      </c>
      <c r="AY193" s="72">
        <f t="shared" si="83"/>
      </c>
      <c r="AZ193" s="70">
        <f>_xlfn.IFERROR(IF(Simulador!$U$29=1,0,IF($AT193&lt;=0.01,0,$AT193*Simulador!$AA$42)),0)+_xlfn.IFERROR(IF(Simulador!$U$29=1,0,IF($AT193&lt;=0.01,0,IF(Simulador!$D$22&gt;0,Simulador!$D$22,Simulador!$O$24)*Simulador!$AA$43)),0)</f>
        <v>0</v>
      </c>
      <c r="BA193" s="73"/>
      <c r="BB193" s="70">
        <f t="shared" si="84"/>
        <v>0</v>
      </c>
      <c r="BC193">
        <f t="shared" si="94"/>
        <v>0</v>
      </c>
      <c r="BD193" s="431">
        <f t="shared" si="95"/>
      </c>
      <c r="BE193" s="432">
        <f t="shared" si="96"/>
        <v>0</v>
      </c>
      <c r="BF193" s="69">
        <v>179</v>
      </c>
      <c r="BG193" s="38"/>
      <c r="BJ193" s="69"/>
      <c r="BM193" s="432"/>
    </row>
    <row r="194" spans="1:65" ht="12">
      <c r="A194" s="531">
        <v>180</v>
      </c>
      <c r="B194" s="106">
        <f t="shared" si="97"/>
        <v>0</v>
      </c>
      <c r="C194" s="112"/>
      <c r="D194" s="107">
        <f>IF(B194+F194-D193&lt;=0,B194+F194,IF(AND(OR(Simulador!$U$38=2,Simulador!$U$38=7),J193=0),D193*(1+AA194),IF($AE$3=2,B194*AQ194,D193*(1+AA194))))</f>
        <v>0</v>
      </c>
      <c r="E194" s="111"/>
      <c r="F194" s="107">
        <f t="shared" si="78"/>
        <v>0</v>
      </c>
      <c r="G194" s="111"/>
      <c r="H194" s="111">
        <f t="shared" si="98"/>
        <v>0</v>
      </c>
      <c r="I194" s="108"/>
      <c r="J194" s="109"/>
      <c r="K194" s="113"/>
      <c r="L194" s="107">
        <f>IF(Simulador!$T$40=1,0,J194*Simulador!$W$38*1.16)</f>
        <v>0</v>
      </c>
      <c r="M194" s="107"/>
      <c r="N194" s="110">
        <f>IF(B194-H194=0,0,N192)</f>
        <v>0</v>
      </c>
      <c r="O194" s="13"/>
      <c r="P194" s="664">
        <f t="shared" si="79"/>
      </c>
      <c r="Q194" s="26"/>
      <c r="R194" s="107">
        <f t="shared" si="85"/>
        <v>0</v>
      </c>
      <c r="S194" s="111"/>
      <c r="T194" s="107">
        <f>_xlfn.IFERROR(IF(Simulador!$U$29=1,0,IF($B194&lt;=0,0,$B194*Simulador!$AA$42)),0)</f>
        <v>0</v>
      </c>
      <c r="U194" s="107"/>
      <c r="V194" s="107">
        <f>_xlfn.IFERROR(IF(Simulador!$U$29=1,0,IF($B194&lt;=0,0,IF(Simulador!$D$22&gt;0,Simulador!$D$22,Simulador!$O$24)*Simulador!$AA$43)),0)</f>
        <v>0</v>
      </c>
      <c r="W194" s="107"/>
      <c r="X194" s="107"/>
      <c r="Y194" s="107">
        <f t="shared" si="80"/>
        <v>0</v>
      </c>
      <c r="Z194" s="27"/>
      <c r="AA194" s="19"/>
      <c r="AB194" s="24"/>
      <c r="AC194" s="303">
        <v>15</v>
      </c>
      <c r="AD194" s="295">
        <v>0</v>
      </c>
      <c r="AE194" s="400">
        <f t="shared" si="86"/>
        <v>0</v>
      </c>
      <c r="AF194" s="279">
        <f t="shared" si="87"/>
        <v>0</v>
      </c>
      <c r="AG194" s="279">
        <f t="shared" si="88"/>
        <v>0</v>
      </c>
      <c r="AH194" s="418">
        <f t="shared" si="89"/>
        <v>0</v>
      </c>
      <c r="AI194" s="296">
        <f>IF(Simulador!$T$67=1,'Tabla de amortizacion'!AJ194,'Tabla de amortizacion'!AR194)</f>
        <v>0.09</v>
      </c>
      <c r="AJ194" s="297">
        <f t="shared" si="103"/>
        <v>0.09</v>
      </c>
      <c r="AK194" s="298">
        <f t="shared" si="90"/>
        <v>0</v>
      </c>
      <c r="AL194" s="298"/>
      <c r="AM194" s="304"/>
      <c r="AN194" s="520">
        <f t="shared" si="77"/>
        <v>0.092</v>
      </c>
      <c r="AO194" s="520">
        <f t="shared" si="77"/>
        <v>0.092</v>
      </c>
      <c r="AP194" s="299">
        <v>0</v>
      </c>
      <c r="AQ194" s="414">
        <f t="shared" si="91"/>
        <v>0</v>
      </c>
      <c r="AR194" s="300">
        <f>IF(AND(Simulador!$T$67=2,Simulador!$T$61=1),AL194,IF(AND(Simulador!$T$67=2,Simulador!$T$61=2),AM194,IF(AND(Simulador!$T$67=2,Simulador!$T$61=3),AN194,AO194)))</f>
        <v>0.092</v>
      </c>
      <c r="AS194" s="281"/>
      <c r="AT194" s="70">
        <f t="shared" si="100"/>
        <v>0</v>
      </c>
      <c r="AU194" s="70">
        <f t="shared" si="92"/>
        <v>0</v>
      </c>
      <c r="AV194" s="71">
        <f t="shared" si="81"/>
        <v>0</v>
      </c>
      <c r="AW194" s="70">
        <f t="shared" si="82"/>
        <v>0</v>
      </c>
      <c r="AX194" s="70">
        <f t="shared" si="93"/>
        <v>0</v>
      </c>
      <c r="AY194" s="72">
        <f t="shared" si="83"/>
      </c>
      <c r="AZ194" s="70">
        <f>_xlfn.IFERROR(IF(Simulador!$U$29=1,0,IF($AT194&lt;=0.01,0,$AT194*Simulador!$AA$42)),0)+_xlfn.IFERROR(IF(Simulador!$U$29=1,0,IF($AT194&lt;=0.01,0,IF(Simulador!$D$22&gt;0,Simulador!$D$22,Simulador!$O$24)*Simulador!$AA$43)),0)</f>
        <v>0</v>
      </c>
      <c r="BA194" s="73"/>
      <c r="BB194" s="70">
        <f t="shared" si="84"/>
        <v>0</v>
      </c>
      <c r="BC194">
        <f t="shared" si="94"/>
        <v>0</v>
      </c>
      <c r="BD194" s="431">
        <f t="shared" si="95"/>
      </c>
      <c r="BE194" s="432">
        <f t="shared" si="96"/>
        <v>0</v>
      </c>
      <c r="BF194" s="69">
        <v>180</v>
      </c>
      <c r="BG194" s="38"/>
      <c r="BJ194" s="69"/>
      <c r="BM194" s="432"/>
    </row>
    <row r="195" spans="1:65" ht="12">
      <c r="A195" s="531">
        <v>181</v>
      </c>
      <c r="B195" s="106">
        <f t="shared" si="97"/>
        <v>0</v>
      </c>
      <c r="C195" s="112"/>
      <c r="D195" s="107">
        <f>IF(B195+F195-D194&lt;=0,B195+F195,IF(AND(OR(Simulador!$U$38=2,Simulador!$U$38=7),J194=0),D194*(1+AA195),IF($AE$3=2,B195*AQ195,D194*(1+AA195))))</f>
        <v>0</v>
      </c>
      <c r="E195" s="111"/>
      <c r="F195" s="107">
        <f t="shared" si="78"/>
        <v>0</v>
      </c>
      <c r="G195" s="111"/>
      <c r="H195" s="111">
        <f t="shared" si="98"/>
        <v>0</v>
      </c>
      <c r="I195" s="108"/>
      <c r="J195" s="109"/>
      <c r="K195" s="113"/>
      <c r="L195" s="107">
        <f>IF(Simulador!$T$40=1,0,J195*Simulador!$W$38*1.16)</f>
        <v>0</v>
      </c>
      <c r="M195" s="107"/>
      <c r="N195" s="111"/>
      <c r="O195" s="13"/>
      <c r="P195" s="664">
        <f t="shared" si="79"/>
      </c>
      <c r="Q195" s="26"/>
      <c r="R195" s="107">
        <f t="shared" si="85"/>
        <v>0</v>
      </c>
      <c r="S195" s="111"/>
      <c r="T195" s="107">
        <f>_xlfn.IFERROR(IF(Simulador!$U$29=1,0,IF($B195&lt;=0,0,$B195*Simulador!$AA$42)),0)</f>
        <v>0</v>
      </c>
      <c r="U195" s="107"/>
      <c r="V195" s="107">
        <f>_xlfn.IFERROR(IF(Simulador!$U$29=1,0,IF($B195&lt;=0,0,IF(Simulador!$D$22&gt;0,Simulador!$D$22,Simulador!$O$24)*Simulador!$AA$43)),0)</f>
        <v>0</v>
      </c>
      <c r="W195" s="107"/>
      <c r="X195" s="107"/>
      <c r="Y195" s="107">
        <f t="shared" si="80"/>
        <v>0</v>
      </c>
      <c r="Z195" s="27"/>
      <c r="AA195" s="19">
        <f>IF(B195&lt;=0,0,Simulador!$I$42)</f>
        <v>0</v>
      </c>
      <c r="AB195" s="24"/>
      <c r="AC195" s="303">
        <v>15</v>
      </c>
      <c r="AD195" s="295">
        <v>1</v>
      </c>
      <c r="AE195" s="400">
        <f t="shared" si="86"/>
        <v>0</v>
      </c>
      <c r="AF195" s="279">
        <f t="shared" si="87"/>
        <v>0</v>
      </c>
      <c r="AG195" s="279">
        <f t="shared" si="88"/>
        <v>0</v>
      </c>
      <c r="AH195" s="418">
        <f t="shared" si="89"/>
        <v>0</v>
      </c>
      <c r="AI195" s="296">
        <f>IF(Simulador!$T$67=1,'Tabla de amortizacion'!AJ195,'Tabla de amortizacion'!AR195)</f>
        <v>0.09</v>
      </c>
      <c r="AJ195" s="297">
        <f>IF(AJ194=$AM$4,AJ194,IF(AJ194-0.25%&lt;=$AM$4,$AM$4,AJ194-0.25%))</f>
        <v>0.09</v>
      </c>
      <c r="AK195" s="298">
        <f t="shared" si="90"/>
        <v>0</v>
      </c>
      <c r="AL195" s="298"/>
      <c r="AM195" s="304"/>
      <c r="AN195" s="279"/>
      <c r="AO195" s="520">
        <f aca="true" t="shared" si="104" ref="AO195:AO254">AO194</f>
        <v>0.092</v>
      </c>
      <c r="AP195" s="299">
        <v>0</v>
      </c>
      <c r="AQ195" s="414">
        <f t="shared" si="91"/>
        <v>0</v>
      </c>
      <c r="AR195" s="300">
        <f>IF(AND(Simulador!$T$67=2,Simulador!$T$61=1),AL195,IF(AND(Simulador!$T$67=2,Simulador!$T$61=2),AM195,IF(AND(Simulador!$T$67=2,Simulador!$T$61=3),AN195,AO195)))</f>
        <v>0.092</v>
      </c>
      <c r="AS195" s="281"/>
      <c r="AT195" s="70">
        <f t="shared" si="100"/>
        <v>0</v>
      </c>
      <c r="AU195" s="70">
        <f t="shared" si="92"/>
        <v>0</v>
      </c>
      <c r="AV195" s="71">
        <f t="shared" si="81"/>
        <v>0</v>
      </c>
      <c r="AW195" s="70">
        <f t="shared" si="82"/>
        <v>0</v>
      </c>
      <c r="AX195" s="70">
        <f t="shared" si="93"/>
        <v>0</v>
      </c>
      <c r="AY195" s="72">
        <f t="shared" si="83"/>
      </c>
      <c r="AZ195" s="70">
        <f>_xlfn.IFERROR(IF(Simulador!$U$29=1,0,IF($AT195&lt;=0.01,0,$AT195*Simulador!$AA$42)),0)+_xlfn.IFERROR(IF(Simulador!$U$29=1,0,IF($AT195&lt;=0.01,0,IF(Simulador!$D$22&gt;0,Simulador!$D$22,Simulador!$O$24)*Simulador!$AA$43)),0)</f>
        <v>0</v>
      </c>
      <c r="BA195" s="73">
        <f>IF(AT195&lt;=0,0,$BA$27)</f>
        <v>0</v>
      </c>
      <c r="BB195" s="70">
        <f t="shared" si="84"/>
        <v>0</v>
      </c>
      <c r="BC195">
        <f t="shared" si="94"/>
        <v>0</v>
      </c>
      <c r="BD195" s="431">
        <f t="shared" si="95"/>
      </c>
      <c r="BE195" s="432">
        <f t="shared" si="96"/>
        <v>0</v>
      </c>
      <c r="BF195" s="69">
        <v>181</v>
      </c>
      <c r="BG195" s="38"/>
      <c r="BJ195" s="69"/>
      <c r="BM195" s="432"/>
    </row>
    <row r="196" spans="1:65" ht="12">
      <c r="A196" s="531">
        <v>182</v>
      </c>
      <c r="B196" s="106">
        <f t="shared" si="97"/>
        <v>0</v>
      </c>
      <c r="C196" s="106"/>
      <c r="D196" s="107">
        <f>IF(B196+F196-D195&lt;=0,B196+F196,IF(AND(OR(Simulador!$U$38=2,Simulador!$U$38=7),J195=0),D195*(1+AA196),IF($AE$3=2,B196*AQ196,D195*(1+AA196))))</f>
        <v>0</v>
      </c>
      <c r="E196" s="107"/>
      <c r="F196" s="107">
        <f t="shared" si="78"/>
        <v>0</v>
      </c>
      <c r="G196" s="107"/>
      <c r="H196" s="107">
        <f t="shared" si="98"/>
        <v>0</v>
      </c>
      <c r="I196" s="108"/>
      <c r="J196" s="109"/>
      <c r="K196" s="108"/>
      <c r="L196" s="107">
        <f>IF(Simulador!$T$40=1,0,J196*Simulador!$W$38*1.16)</f>
        <v>0</v>
      </c>
      <c r="M196" s="107"/>
      <c r="N196" s="110">
        <f>IF(B196-H196=0,0,N194*(1+(Simulador!$AF$76)))</f>
        <v>0</v>
      </c>
      <c r="O196" s="13"/>
      <c r="P196" s="664">
        <f t="shared" si="79"/>
      </c>
      <c r="Q196" s="3"/>
      <c r="R196" s="107">
        <f t="shared" si="85"/>
        <v>0</v>
      </c>
      <c r="S196" s="107"/>
      <c r="T196" s="107">
        <f>_xlfn.IFERROR(IF(Simulador!$U$29=1,0,IF($B196&lt;=0,0,$B196*Simulador!$AA$42)),0)</f>
        <v>0</v>
      </c>
      <c r="U196" s="107"/>
      <c r="V196" s="107">
        <f>_xlfn.IFERROR(IF(Simulador!$U$29=1,0,IF($B196&lt;=0,0,IF(Simulador!$D$22&gt;0,Simulador!$D$22,Simulador!$O$24)*Simulador!$AA$43)),0)</f>
        <v>0</v>
      </c>
      <c r="W196" s="107"/>
      <c r="X196" s="107"/>
      <c r="Y196" s="107">
        <f t="shared" si="80"/>
        <v>0</v>
      </c>
      <c r="Z196" s="14"/>
      <c r="AA196" s="19"/>
      <c r="AB196" s="24"/>
      <c r="AC196" s="303">
        <v>15</v>
      </c>
      <c r="AD196" s="301">
        <v>2</v>
      </c>
      <c r="AE196" s="400">
        <f t="shared" si="86"/>
        <v>0</v>
      </c>
      <c r="AF196" s="279">
        <f t="shared" si="87"/>
        <v>0</v>
      </c>
      <c r="AG196" s="279">
        <f t="shared" si="88"/>
        <v>0</v>
      </c>
      <c r="AH196" s="418">
        <f t="shared" si="89"/>
        <v>0</v>
      </c>
      <c r="AI196" s="296">
        <f>IF(Simulador!$T$67=1,'Tabla de amortizacion'!AJ196,'Tabla de amortizacion'!AR196)</f>
        <v>0.09</v>
      </c>
      <c r="AJ196" s="297">
        <f>AJ195</f>
        <v>0.09</v>
      </c>
      <c r="AK196" s="298">
        <f t="shared" si="90"/>
        <v>0</v>
      </c>
      <c r="AL196" s="298"/>
      <c r="AM196" s="304"/>
      <c r="AN196" s="279"/>
      <c r="AO196" s="520">
        <f t="shared" si="104"/>
        <v>0.092</v>
      </c>
      <c r="AP196" s="299">
        <v>0</v>
      </c>
      <c r="AQ196" s="414">
        <f t="shared" si="91"/>
        <v>0</v>
      </c>
      <c r="AR196" s="300">
        <f>IF(AND(Simulador!$T$67=2,Simulador!$T$61=1),AL196,IF(AND(Simulador!$T$67=2,Simulador!$T$61=2),AM196,IF(AND(Simulador!$T$67=2,Simulador!$T$61=3),AN196,AO196)))</f>
        <v>0.092</v>
      </c>
      <c r="AS196" s="281"/>
      <c r="AT196" s="70">
        <f t="shared" si="100"/>
        <v>0</v>
      </c>
      <c r="AU196" s="70">
        <f t="shared" si="92"/>
        <v>0</v>
      </c>
      <c r="AV196" s="71">
        <f t="shared" si="81"/>
        <v>0</v>
      </c>
      <c r="AW196" s="70">
        <f t="shared" si="82"/>
        <v>0</v>
      </c>
      <c r="AX196" s="70">
        <f t="shared" si="93"/>
        <v>0</v>
      </c>
      <c r="AY196" s="72">
        <f t="shared" si="83"/>
      </c>
      <c r="AZ196" s="70">
        <f>_xlfn.IFERROR(IF(Simulador!$U$29=1,0,IF($AT196&lt;=0.01,0,$AT196*Simulador!$AA$42)),0)+_xlfn.IFERROR(IF(Simulador!$U$29=1,0,IF($AT196&lt;=0.01,0,IF(Simulador!$D$22&gt;0,Simulador!$D$22,Simulador!$O$24)*Simulador!$AA$43)),0)</f>
        <v>0</v>
      </c>
      <c r="BA196" s="73"/>
      <c r="BB196" s="70">
        <f t="shared" si="84"/>
        <v>0</v>
      </c>
      <c r="BC196">
        <f t="shared" si="94"/>
        <v>0</v>
      </c>
      <c r="BD196" s="431">
        <f t="shared" si="95"/>
      </c>
      <c r="BE196" s="432">
        <f t="shared" si="96"/>
        <v>0</v>
      </c>
      <c r="BF196" s="69">
        <v>182</v>
      </c>
      <c r="BG196" s="38"/>
      <c r="BJ196" s="69"/>
      <c r="BM196" s="432"/>
    </row>
    <row r="197" spans="1:65" ht="12">
      <c r="A197" s="531">
        <v>183</v>
      </c>
      <c r="B197" s="106">
        <f t="shared" si="97"/>
        <v>0</v>
      </c>
      <c r="C197" s="106"/>
      <c r="D197" s="107">
        <f>IF(B197+F197-D196&lt;=0,B197+F197,IF(AND(OR(Simulador!$U$38=2,Simulador!$U$38=7),J196=0),D196*(1+AA197),IF($AE$3=2,B197*AQ197,D196*(1+AA197))))</f>
        <v>0</v>
      </c>
      <c r="E197" s="107"/>
      <c r="F197" s="107">
        <f t="shared" si="78"/>
        <v>0</v>
      </c>
      <c r="G197" s="107"/>
      <c r="H197" s="107">
        <f t="shared" si="98"/>
        <v>0</v>
      </c>
      <c r="I197" s="108"/>
      <c r="J197" s="109"/>
      <c r="K197" s="108"/>
      <c r="L197" s="107">
        <f>IF(Simulador!$T$40=1,0,J197*Simulador!$W$38*1.16)</f>
        <v>0</v>
      </c>
      <c r="M197" s="107"/>
      <c r="N197" s="111"/>
      <c r="O197" s="13"/>
      <c r="P197" s="664">
        <f t="shared" si="79"/>
      </c>
      <c r="Q197" s="3"/>
      <c r="R197" s="107">
        <f t="shared" si="85"/>
        <v>0</v>
      </c>
      <c r="S197" s="107"/>
      <c r="T197" s="107">
        <f>_xlfn.IFERROR(IF(Simulador!$U$29=1,0,IF($B197&lt;=0,0,$B197*Simulador!$AA$42)),0)</f>
        <v>0</v>
      </c>
      <c r="U197" s="107"/>
      <c r="V197" s="107">
        <f>_xlfn.IFERROR(IF(Simulador!$U$29=1,0,IF($B197&lt;=0,0,IF(Simulador!$D$22&gt;0,Simulador!$D$22,Simulador!$O$24)*Simulador!$AA$43)),0)</f>
        <v>0</v>
      </c>
      <c r="W197" s="107"/>
      <c r="X197" s="107"/>
      <c r="Y197" s="107">
        <f t="shared" si="80"/>
        <v>0</v>
      </c>
      <c r="Z197" s="14"/>
      <c r="AA197" s="19"/>
      <c r="AB197" s="24"/>
      <c r="AC197" s="303">
        <v>15</v>
      </c>
      <c r="AD197" s="301">
        <v>3</v>
      </c>
      <c r="AE197" s="400">
        <f t="shared" si="86"/>
        <v>0</v>
      </c>
      <c r="AF197" s="279">
        <f t="shared" si="87"/>
        <v>0</v>
      </c>
      <c r="AG197" s="279">
        <f t="shared" si="88"/>
        <v>0</v>
      </c>
      <c r="AH197" s="418">
        <f t="shared" si="89"/>
        <v>0</v>
      </c>
      <c r="AI197" s="296">
        <f>IF(Simulador!$T$67=1,'Tabla de amortizacion'!AJ197,'Tabla de amortizacion'!AR197)</f>
        <v>0.09</v>
      </c>
      <c r="AJ197" s="297">
        <f aca="true" t="shared" si="105" ref="AJ197:AJ206">AJ196</f>
        <v>0.09</v>
      </c>
      <c r="AK197" s="298">
        <f t="shared" si="90"/>
        <v>0</v>
      </c>
      <c r="AL197" s="298"/>
      <c r="AM197" s="304"/>
      <c r="AN197" s="279"/>
      <c r="AO197" s="520">
        <f t="shared" si="104"/>
        <v>0.092</v>
      </c>
      <c r="AP197" s="299">
        <v>0</v>
      </c>
      <c r="AQ197" s="414">
        <f t="shared" si="91"/>
        <v>0</v>
      </c>
      <c r="AR197" s="300">
        <f>IF(AND(Simulador!$T$67=2,Simulador!$T$61=1),AL197,IF(AND(Simulador!$T$67=2,Simulador!$T$61=2),AM197,IF(AND(Simulador!$T$67=2,Simulador!$T$61=3),AN197,AO197)))</f>
        <v>0.092</v>
      </c>
      <c r="AS197" s="281"/>
      <c r="AT197" s="70">
        <f t="shared" si="100"/>
        <v>0</v>
      </c>
      <c r="AU197" s="70">
        <f t="shared" si="92"/>
        <v>0</v>
      </c>
      <c r="AV197" s="71">
        <f t="shared" si="81"/>
        <v>0</v>
      </c>
      <c r="AW197" s="70">
        <f t="shared" si="82"/>
        <v>0</v>
      </c>
      <c r="AX197" s="70">
        <f t="shared" si="93"/>
        <v>0</v>
      </c>
      <c r="AY197" s="72">
        <f t="shared" si="83"/>
      </c>
      <c r="AZ197" s="70">
        <f>_xlfn.IFERROR(IF(Simulador!$U$29=1,0,IF($AT197&lt;=0.01,0,$AT197*Simulador!$AA$42)),0)+_xlfn.IFERROR(IF(Simulador!$U$29=1,0,IF($AT197&lt;=0.01,0,IF(Simulador!$D$22&gt;0,Simulador!$D$22,Simulador!$O$24)*Simulador!$AA$43)),0)</f>
        <v>0</v>
      </c>
      <c r="BA197" s="73"/>
      <c r="BB197" s="70">
        <f t="shared" si="84"/>
        <v>0</v>
      </c>
      <c r="BC197">
        <f t="shared" si="94"/>
        <v>0</v>
      </c>
      <c r="BD197" s="431">
        <f t="shared" si="95"/>
      </c>
      <c r="BE197" s="432">
        <f t="shared" si="96"/>
        <v>0</v>
      </c>
      <c r="BF197" s="69">
        <v>183</v>
      </c>
      <c r="BG197" s="38"/>
      <c r="BJ197" s="69"/>
      <c r="BM197" s="432"/>
    </row>
    <row r="198" spans="1:65" ht="12">
      <c r="A198" s="531">
        <v>184</v>
      </c>
      <c r="B198" s="106">
        <f t="shared" si="97"/>
        <v>0</v>
      </c>
      <c r="C198" s="106"/>
      <c r="D198" s="107">
        <f>IF(B198+F198-D197&lt;=0,B198+F198,IF(AND(OR(Simulador!$U$38=2,Simulador!$U$38=7),J197=0),D197*(1+AA198),IF($AE$3=2,B198*AQ198,D197*(1+AA198))))</f>
        <v>0</v>
      </c>
      <c r="E198" s="107"/>
      <c r="F198" s="107">
        <f t="shared" si="78"/>
        <v>0</v>
      </c>
      <c r="G198" s="107"/>
      <c r="H198" s="107">
        <f t="shared" si="98"/>
        <v>0</v>
      </c>
      <c r="I198" s="108"/>
      <c r="J198" s="109"/>
      <c r="K198" s="108"/>
      <c r="L198" s="107">
        <f>IF(Simulador!$T$40=1,0,J198*Simulador!$W$38*1.16)</f>
        <v>0</v>
      </c>
      <c r="M198" s="107"/>
      <c r="N198" s="110">
        <f>IF(B198-H198=0,0,N196)</f>
        <v>0</v>
      </c>
      <c r="O198" s="13"/>
      <c r="P198" s="664">
        <f t="shared" si="79"/>
      </c>
      <c r="Q198" s="3"/>
      <c r="R198" s="107">
        <f t="shared" si="85"/>
        <v>0</v>
      </c>
      <c r="S198" s="107"/>
      <c r="T198" s="107">
        <f>_xlfn.IFERROR(IF(Simulador!$U$29=1,0,IF($B198&lt;=0,0,$B198*Simulador!$AA$42)),0)</f>
        <v>0</v>
      </c>
      <c r="U198" s="107"/>
      <c r="V198" s="107">
        <f>_xlfn.IFERROR(IF(Simulador!$U$29=1,0,IF($B198&lt;=0,0,IF(Simulador!$D$22&gt;0,Simulador!$D$22,Simulador!$O$24)*Simulador!$AA$43)),0)</f>
        <v>0</v>
      </c>
      <c r="W198" s="107"/>
      <c r="X198" s="107"/>
      <c r="Y198" s="107">
        <f t="shared" si="80"/>
        <v>0</v>
      </c>
      <c r="Z198" s="14"/>
      <c r="AA198" s="19"/>
      <c r="AB198" s="24"/>
      <c r="AC198" s="303">
        <v>15</v>
      </c>
      <c r="AD198" s="295">
        <v>4</v>
      </c>
      <c r="AE198" s="400">
        <f t="shared" si="86"/>
        <v>0</v>
      </c>
      <c r="AF198" s="279">
        <f t="shared" si="87"/>
        <v>0</v>
      </c>
      <c r="AG198" s="279">
        <f t="shared" si="88"/>
        <v>0</v>
      </c>
      <c r="AH198" s="418">
        <f t="shared" si="89"/>
        <v>0</v>
      </c>
      <c r="AI198" s="296">
        <f>IF(Simulador!$T$67=1,'Tabla de amortizacion'!AJ198,'Tabla de amortizacion'!AR198)</f>
        <v>0.09</v>
      </c>
      <c r="AJ198" s="297">
        <f t="shared" si="105"/>
        <v>0.09</v>
      </c>
      <c r="AK198" s="298">
        <f t="shared" si="90"/>
        <v>0</v>
      </c>
      <c r="AL198" s="298"/>
      <c r="AM198" s="304"/>
      <c r="AN198" s="279"/>
      <c r="AO198" s="520">
        <f t="shared" si="104"/>
        <v>0.092</v>
      </c>
      <c r="AP198" s="299">
        <v>0</v>
      </c>
      <c r="AQ198" s="414">
        <f t="shared" si="91"/>
        <v>0</v>
      </c>
      <c r="AR198" s="300">
        <f>IF(AND(Simulador!$T$67=2,Simulador!$T$61=1),AL198,IF(AND(Simulador!$T$67=2,Simulador!$T$61=2),AM198,IF(AND(Simulador!$T$67=2,Simulador!$T$61=3),AN198,AO198)))</f>
        <v>0.092</v>
      </c>
      <c r="AS198" s="281"/>
      <c r="AT198" s="70">
        <f t="shared" si="100"/>
        <v>0</v>
      </c>
      <c r="AU198" s="70">
        <f t="shared" si="92"/>
        <v>0</v>
      </c>
      <c r="AV198" s="71">
        <f t="shared" si="81"/>
        <v>0</v>
      </c>
      <c r="AW198" s="70">
        <f t="shared" si="82"/>
        <v>0</v>
      </c>
      <c r="AX198" s="70">
        <f t="shared" si="93"/>
        <v>0</v>
      </c>
      <c r="AY198" s="72">
        <f t="shared" si="83"/>
      </c>
      <c r="AZ198" s="70">
        <f>_xlfn.IFERROR(IF(Simulador!$U$29=1,0,IF($AT198&lt;=0.01,0,$AT198*Simulador!$AA$42)),0)+_xlfn.IFERROR(IF(Simulador!$U$29=1,0,IF($AT198&lt;=0.01,0,IF(Simulador!$D$22&gt;0,Simulador!$D$22,Simulador!$O$24)*Simulador!$AA$43)),0)</f>
        <v>0</v>
      </c>
      <c r="BA198" s="73"/>
      <c r="BB198" s="70">
        <f t="shared" si="84"/>
        <v>0</v>
      </c>
      <c r="BC198">
        <f t="shared" si="94"/>
        <v>0</v>
      </c>
      <c r="BD198" s="431">
        <f t="shared" si="95"/>
      </c>
      <c r="BE198" s="432">
        <f t="shared" si="96"/>
        <v>0</v>
      </c>
      <c r="BF198" s="69">
        <v>184</v>
      </c>
      <c r="BG198" s="38"/>
      <c r="BJ198" s="69"/>
      <c r="BM198" s="432"/>
    </row>
    <row r="199" spans="1:65" ht="12">
      <c r="A199" s="531">
        <v>185</v>
      </c>
      <c r="B199" s="106">
        <f t="shared" si="97"/>
        <v>0</v>
      </c>
      <c r="C199" s="106"/>
      <c r="D199" s="107">
        <f>IF(B199+F199-D198&lt;=0,B199+F199,IF(AND(OR(Simulador!$U$38=2,Simulador!$U$38=7),J198=0),D198*(1+AA199),IF($AE$3=2,B199*AQ199,D198*(1+AA199))))</f>
        <v>0</v>
      </c>
      <c r="E199" s="107"/>
      <c r="F199" s="107">
        <f t="shared" si="78"/>
        <v>0</v>
      </c>
      <c r="G199" s="107"/>
      <c r="H199" s="107">
        <f t="shared" si="98"/>
        <v>0</v>
      </c>
      <c r="I199" s="108"/>
      <c r="J199" s="109"/>
      <c r="K199" s="108"/>
      <c r="L199" s="107">
        <f>IF(Simulador!$T$40=1,0,J199*Simulador!$W$38*1.16)</f>
        <v>0</v>
      </c>
      <c r="M199" s="107"/>
      <c r="N199" s="111"/>
      <c r="O199" s="13"/>
      <c r="P199" s="664">
        <f t="shared" si="79"/>
      </c>
      <c r="Q199" s="3"/>
      <c r="R199" s="107">
        <f t="shared" si="85"/>
        <v>0</v>
      </c>
      <c r="S199" s="107"/>
      <c r="T199" s="107">
        <f>_xlfn.IFERROR(IF(Simulador!$U$29=1,0,IF($B199&lt;=0,0,$B199*Simulador!$AA$42)),0)</f>
        <v>0</v>
      </c>
      <c r="U199" s="107"/>
      <c r="V199" s="107">
        <f>_xlfn.IFERROR(IF(Simulador!$U$29=1,0,IF($B199&lt;=0,0,IF(Simulador!$D$22&gt;0,Simulador!$D$22,Simulador!$O$24)*Simulador!$AA$43)),0)</f>
        <v>0</v>
      </c>
      <c r="W199" s="107"/>
      <c r="X199" s="107"/>
      <c r="Y199" s="107">
        <f t="shared" si="80"/>
        <v>0</v>
      </c>
      <c r="Z199" s="14"/>
      <c r="AA199" s="19"/>
      <c r="AB199" s="24"/>
      <c r="AC199" s="303">
        <v>15</v>
      </c>
      <c r="AD199" s="295">
        <v>5</v>
      </c>
      <c r="AE199" s="400">
        <f t="shared" si="86"/>
        <v>0</v>
      </c>
      <c r="AF199" s="279">
        <f t="shared" si="87"/>
        <v>0</v>
      </c>
      <c r="AG199" s="279">
        <f t="shared" si="88"/>
        <v>0</v>
      </c>
      <c r="AH199" s="418">
        <f t="shared" si="89"/>
        <v>0</v>
      </c>
      <c r="AI199" s="296">
        <f>IF(Simulador!$T$67=1,'Tabla de amortizacion'!AJ199,'Tabla de amortizacion'!AR199)</f>
        <v>0.09</v>
      </c>
      <c r="AJ199" s="297">
        <f t="shared" si="105"/>
        <v>0.09</v>
      </c>
      <c r="AK199" s="298">
        <f t="shared" si="90"/>
        <v>0</v>
      </c>
      <c r="AL199" s="298"/>
      <c r="AM199" s="304"/>
      <c r="AN199" s="279"/>
      <c r="AO199" s="520">
        <f t="shared" si="104"/>
        <v>0.092</v>
      </c>
      <c r="AP199" s="299">
        <v>0</v>
      </c>
      <c r="AQ199" s="414">
        <f t="shared" si="91"/>
        <v>0</v>
      </c>
      <c r="AR199" s="300">
        <f>IF(AND(Simulador!$T$67=2,Simulador!$T$61=1),AL199,IF(AND(Simulador!$T$67=2,Simulador!$T$61=2),AM199,IF(AND(Simulador!$T$67=2,Simulador!$T$61=3),AN199,AO199)))</f>
        <v>0.092</v>
      </c>
      <c r="AS199" s="281"/>
      <c r="AT199" s="70">
        <f t="shared" si="100"/>
        <v>0</v>
      </c>
      <c r="AU199" s="70">
        <f t="shared" si="92"/>
        <v>0</v>
      </c>
      <c r="AV199" s="71">
        <f t="shared" si="81"/>
        <v>0</v>
      </c>
      <c r="AW199" s="70">
        <f t="shared" si="82"/>
        <v>0</v>
      </c>
      <c r="AX199" s="70">
        <f t="shared" si="93"/>
        <v>0</v>
      </c>
      <c r="AY199" s="72">
        <f t="shared" si="83"/>
      </c>
      <c r="AZ199" s="70">
        <f>_xlfn.IFERROR(IF(Simulador!$U$29=1,0,IF($AT199&lt;=0.01,0,$AT199*Simulador!$AA$42)),0)+_xlfn.IFERROR(IF(Simulador!$U$29=1,0,IF($AT199&lt;=0.01,0,IF(Simulador!$D$22&gt;0,Simulador!$D$22,Simulador!$O$24)*Simulador!$AA$43)),0)</f>
        <v>0</v>
      </c>
      <c r="BA199" s="73"/>
      <c r="BB199" s="70">
        <f t="shared" si="84"/>
        <v>0</v>
      </c>
      <c r="BC199">
        <f t="shared" si="94"/>
        <v>0</v>
      </c>
      <c r="BD199" s="431">
        <f t="shared" si="95"/>
      </c>
      <c r="BE199" s="432">
        <f t="shared" si="96"/>
        <v>0</v>
      </c>
      <c r="BF199" s="69">
        <v>185</v>
      </c>
      <c r="BG199" s="38"/>
      <c r="BJ199" s="69"/>
      <c r="BM199" s="432"/>
    </row>
    <row r="200" spans="1:65" ht="12">
      <c r="A200" s="531">
        <v>186</v>
      </c>
      <c r="B200" s="106">
        <f t="shared" si="97"/>
        <v>0</v>
      </c>
      <c r="C200" s="106"/>
      <c r="D200" s="107">
        <f>IF(B200+F200-D199&lt;=0,B200+F200,IF(AND(OR(Simulador!$U$38=2,Simulador!$U$38=7),J199=0),D199*(1+AA200),IF($AE$3=2,B200*AQ200,D199*(1+AA200))))</f>
        <v>0</v>
      </c>
      <c r="E200" s="107"/>
      <c r="F200" s="107">
        <f t="shared" si="78"/>
        <v>0</v>
      </c>
      <c r="G200" s="107"/>
      <c r="H200" s="107">
        <f t="shared" si="98"/>
        <v>0</v>
      </c>
      <c r="I200" s="108"/>
      <c r="J200" s="109"/>
      <c r="K200" s="108"/>
      <c r="L200" s="107">
        <f>IF(Simulador!$T$40=1,0,J200*Simulador!$W$38*1.16)</f>
        <v>0</v>
      </c>
      <c r="M200" s="107"/>
      <c r="N200" s="110">
        <f>IF(B200-H200=0,0,N198)</f>
        <v>0</v>
      </c>
      <c r="O200" s="13"/>
      <c r="P200" s="664">
        <f t="shared" si="79"/>
      </c>
      <c r="Q200" s="3"/>
      <c r="R200" s="107">
        <f t="shared" si="85"/>
        <v>0</v>
      </c>
      <c r="S200" s="107"/>
      <c r="T200" s="107">
        <f>_xlfn.IFERROR(IF(Simulador!$U$29=1,0,IF($B200&lt;=0,0,$B200*Simulador!$AA$42)),0)</f>
        <v>0</v>
      </c>
      <c r="U200" s="107"/>
      <c r="V200" s="107">
        <f>_xlfn.IFERROR(IF(Simulador!$U$29=1,0,IF($B200&lt;=0,0,IF(Simulador!$D$22&gt;0,Simulador!$D$22,Simulador!$O$24)*Simulador!$AA$43)),0)</f>
        <v>0</v>
      </c>
      <c r="W200" s="107"/>
      <c r="X200" s="107"/>
      <c r="Y200" s="107">
        <f t="shared" si="80"/>
        <v>0</v>
      </c>
      <c r="Z200" s="14"/>
      <c r="AA200" s="19"/>
      <c r="AB200" s="24"/>
      <c r="AC200" s="303">
        <v>15</v>
      </c>
      <c r="AD200" s="295">
        <v>6</v>
      </c>
      <c r="AE200" s="400">
        <f t="shared" si="86"/>
        <v>0</v>
      </c>
      <c r="AF200" s="279">
        <f t="shared" si="87"/>
        <v>0</v>
      </c>
      <c r="AG200" s="279">
        <f t="shared" si="88"/>
        <v>0</v>
      </c>
      <c r="AH200" s="418">
        <f t="shared" si="89"/>
        <v>0</v>
      </c>
      <c r="AI200" s="296">
        <f>IF(Simulador!$T$67=1,'Tabla de amortizacion'!AJ200,'Tabla de amortizacion'!AR200)</f>
        <v>0.09</v>
      </c>
      <c r="AJ200" s="297">
        <f t="shared" si="105"/>
        <v>0.09</v>
      </c>
      <c r="AK200" s="298">
        <f t="shared" si="90"/>
        <v>0</v>
      </c>
      <c r="AL200" s="298"/>
      <c r="AM200" s="304"/>
      <c r="AN200" s="279"/>
      <c r="AO200" s="520">
        <f t="shared" si="104"/>
        <v>0.092</v>
      </c>
      <c r="AP200" s="299">
        <v>0</v>
      </c>
      <c r="AQ200" s="414">
        <f t="shared" si="91"/>
        <v>0</v>
      </c>
      <c r="AR200" s="300">
        <f>IF(AND(Simulador!$T$67=2,Simulador!$T$61=1),AL200,IF(AND(Simulador!$T$67=2,Simulador!$T$61=2),AM200,IF(AND(Simulador!$T$67=2,Simulador!$T$61=3),AN200,AO200)))</f>
        <v>0.092</v>
      </c>
      <c r="AS200" s="281"/>
      <c r="AT200" s="70">
        <f t="shared" si="100"/>
        <v>0</v>
      </c>
      <c r="AU200" s="70">
        <f t="shared" si="92"/>
        <v>0</v>
      </c>
      <c r="AV200" s="71">
        <f t="shared" si="81"/>
        <v>0</v>
      </c>
      <c r="AW200" s="70">
        <f t="shared" si="82"/>
        <v>0</v>
      </c>
      <c r="AX200" s="70">
        <f t="shared" si="93"/>
        <v>0</v>
      </c>
      <c r="AY200" s="72">
        <f t="shared" si="83"/>
      </c>
      <c r="AZ200" s="70">
        <f>_xlfn.IFERROR(IF(Simulador!$U$29=1,0,IF($AT200&lt;=0.01,0,$AT200*Simulador!$AA$42)),0)+_xlfn.IFERROR(IF(Simulador!$U$29=1,0,IF($AT200&lt;=0.01,0,IF(Simulador!$D$22&gt;0,Simulador!$D$22,Simulador!$O$24)*Simulador!$AA$43)),0)</f>
        <v>0</v>
      </c>
      <c r="BA200" s="73"/>
      <c r="BB200" s="70">
        <f t="shared" si="84"/>
        <v>0</v>
      </c>
      <c r="BC200">
        <f t="shared" si="94"/>
        <v>0</v>
      </c>
      <c r="BD200" s="431">
        <f t="shared" si="95"/>
      </c>
      <c r="BE200" s="432">
        <f t="shared" si="96"/>
        <v>0</v>
      </c>
      <c r="BF200" s="69">
        <v>186</v>
      </c>
      <c r="BG200" s="38"/>
      <c r="BJ200" s="69"/>
      <c r="BM200" s="432"/>
    </row>
    <row r="201" spans="1:65" ht="12">
      <c r="A201" s="531">
        <v>187</v>
      </c>
      <c r="B201" s="106">
        <f t="shared" si="97"/>
        <v>0</v>
      </c>
      <c r="C201" s="106"/>
      <c r="D201" s="107">
        <f>IF(B201+F201-D200&lt;=0,B201+F201,IF(AND(OR(Simulador!$U$38=2,Simulador!$U$38=7),J200=0),D200*(1+AA201),IF($AE$3=2,B201*AQ201,D200*(1+AA201))))</f>
        <v>0</v>
      </c>
      <c r="E201" s="107"/>
      <c r="F201" s="107">
        <f t="shared" si="78"/>
        <v>0</v>
      </c>
      <c r="G201" s="107"/>
      <c r="H201" s="107">
        <f t="shared" si="98"/>
        <v>0</v>
      </c>
      <c r="I201" s="108"/>
      <c r="J201" s="109"/>
      <c r="K201" s="108"/>
      <c r="L201" s="107">
        <f>IF(Simulador!$T$40=1,0,J201*Simulador!$W$38*1.16)</f>
        <v>0</v>
      </c>
      <c r="M201" s="107"/>
      <c r="N201" s="111"/>
      <c r="O201" s="13"/>
      <c r="P201" s="664">
        <f t="shared" si="79"/>
      </c>
      <c r="Q201" s="3"/>
      <c r="R201" s="107">
        <f t="shared" si="85"/>
        <v>0</v>
      </c>
      <c r="S201" s="107"/>
      <c r="T201" s="107">
        <f>_xlfn.IFERROR(IF(Simulador!$U$29=1,0,IF($B201&lt;=0,0,$B201*Simulador!$AA$42)),0)</f>
        <v>0</v>
      </c>
      <c r="U201" s="107"/>
      <c r="V201" s="107">
        <f>_xlfn.IFERROR(IF(Simulador!$U$29=1,0,IF($B201&lt;=0,0,IF(Simulador!$D$22&gt;0,Simulador!$D$22,Simulador!$O$24)*Simulador!$AA$43)),0)</f>
        <v>0</v>
      </c>
      <c r="W201" s="107"/>
      <c r="X201" s="107"/>
      <c r="Y201" s="107">
        <f t="shared" si="80"/>
        <v>0</v>
      </c>
      <c r="Z201" s="14"/>
      <c r="AA201" s="19"/>
      <c r="AB201" s="24"/>
      <c r="AC201" s="303">
        <v>15</v>
      </c>
      <c r="AD201" s="295">
        <v>7</v>
      </c>
      <c r="AE201" s="400">
        <f t="shared" si="86"/>
        <v>0</v>
      </c>
      <c r="AF201" s="279">
        <f t="shared" si="87"/>
        <v>0</v>
      </c>
      <c r="AG201" s="279">
        <f t="shared" si="88"/>
        <v>0</v>
      </c>
      <c r="AH201" s="418">
        <f t="shared" si="89"/>
        <v>0</v>
      </c>
      <c r="AI201" s="296">
        <f>IF(Simulador!$T$67=1,'Tabla de amortizacion'!AJ201,'Tabla de amortizacion'!AR201)</f>
        <v>0.09</v>
      </c>
      <c r="AJ201" s="297">
        <f t="shared" si="105"/>
        <v>0.09</v>
      </c>
      <c r="AK201" s="298">
        <f t="shared" si="90"/>
        <v>0</v>
      </c>
      <c r="AL201" s="298"/>
      <c r="AM201" s="304"/>
      <c r="AN201" s="279"/>
      <c r="AO201" s="520">
        <f t="shared" si="104"/>
        <v>0.092</v>
      </c>
      <c r="AP201" s="299">
        <v>0</v>
      </c>
      <c r="AQ201" s="414">
        <f t="shared" si="91"/>
        <v>0</v>
      </c>
      <c r="AR201" s="300">
        <f>IF(AND(Simulador!$T$67=2,Simulador!$T$61=1),AL201,IF(AND(Simulador!$T$67=2,Simulador!$T$61=2),AM201,IF(AND(Simulador!$T$67=2,Simulador!$T$61=3),AN201,AO201)))</f>
        <v>0.092</v>
      </c>
      <c r="AS201" s="281"/>
      <c r="AT201" s="70">
        <f t="shared" si="100"/>
        <v>0</v>
      </c>
      <c r="AU201" s="70">
        <f t="shared" si="92"/>
        <v>0</v>
      </c>
      <c r="AV201" s="71">
        <f t="shared" si="81"/>
        <v>0</v>
      </c>
      <c r="AW201" s="70">
        <f t="shared" si="82"/>
        <v>0</v>
      </c>
      <c r="AX201" s="70">
        <f t="shared" si="93"/>
        <v>0</v>
      </c>
      <c r="AY201" s="72">
        <f t="shared" si="83"/>
      </c>
      <c r="AZ201" s="70">
        <f>_xlfn.IFERROR(IF(Simulador!$U$29=1,0,IF($AT201&lt;=0.01,0,$AT201*Simulador!$AA$42)),0)+_xlfn.IFERROR(IF(Simulador!$U$29=1,0,IF($AT201&lt;=0.01,0,IF(Simulador!$D$22&gt;0,Simulador!$D$22,Simulador!$O$24)*Simulador!$AA$43)),0)</f>
        <v>0</v>
      </c>
      <c r="BA201" s="73"/>
      <c r="BB201" s="70">
        <f t="shared" si="84"/>
        <v>0</v>
      </c>
      <c r="BC201">
        <f t="shared" si="94"/>
        <v>0</v>
      </c>
      <c r="BD201" s="431">
        <f t="shared" si="95"/>
      </c>
      <c r="BE201" s="432">
        <f t="shared" si="96"/>
        <v>0</v>
      </c>
      <c r="BF201" s="69">
        <v>187</v>
      </c>
      <c r="BG201" s="38"/>
      <c r="BJ201" s="69"/>
      <c r="BM201" s="432"/>
    </row>
    <row r="202" spans="1:65" ht="12">
      <c r="A202" s="531">
        <v>188</v>
      </c>
      <c r="B202" s="106">
        <f t="shared" si="97"/>
        <v>0</v>
      </c>
      <c r="C202" s="106"/>
      <c r="D202" s="107">
        <f>IF(B202+F202-D201&lt;=0,B202+F202,IF(AND(OR(Simulador!$U$38=2,Simulador!$U$38=7),J201=0),D201*(1+AA202),IF($AE$3=2,B202*AQ202,D201*(1+AA202))))</f>
        <v>0</v>
      </c>
      <c r="E202" s="107"/>
      <c r="F202" s="107">
        <f t="shared" si="78"/>
        <v>0</v>
      </c>
      <c r="G202" s="107"/>
      <c r="H202" s="107">
        <f t="shared" si="98"/>
        <v>0</v>
      </c>
      <c r="I202" s="108"/>
      <c r="J202" s="109"/>
      <c r="K202" s="108"/>
      <c r="L202" s="107">
        <f>IF(Simulador!$T$40=1,0,J202*Simulador!$W$38*1.16)</f>
        <v>0</v>
      </c>
      <c r="M202" s="107"/>
      <c r="N202" s="110">
        <f>IF(B202-H202=0,0,N200)</f>
        <v>0</v>
      </c>
      <c r="O202" s="13"/>
      <c r="P202" s="664">
        <f t="shared" si="79"/>
      </c>
      <c r="Q202" s="3"/>
      <c r="R202" s="107">
        <f t="shared" si="85"/>
        <v>0</v>
      </c>
      <c r="S202" s="107"/>
      <c r="T202" s="107">
        <f>_xlfn.IFERROR(IF(Simulador!$U$29=1,0,IF($B202&lt;=0,0,$B202*Simulador!$AA$42)),0)</f>
        <v>0</v>
      </c>
      <c r="U202" s="107"/>
      <c r="V202" s="107">
        <f>_xlfn.IFERROR(IF(Simulador!$U$29=1,0,IF($B202&lt;=0,0,IF(Simulador!$D$22&gt;0,Simulador!$D$22,Simulador!$O$24)*Simulador!$AA$43)),0)</f>
        <v>0</v>
      </c>
      <c r="W202" s="107"/>
      <c r="X202" s="107"/>
      <c r="Y202" s="107">
        <f t="shared" si="80"/>
        <v>0</v>
      </c>
      <c r="Z202" s="14"/>
      <c r="AA202" s="19"/>
      <c r="AB202" s="24"/>
      <c r="AC202" s="303">
        <v>15</v>
      </c>
      <c r="AD202" s="295">
        <v>8</v>
      </c>
      <c r="AE202" s="400">
        <f t="shared" si="86"/>
        <v>0</v>
      </c>
      <c r="AF202" s="279">
        <f t="shared" si="87"/>
        <v>0</v>
      </c>
      <c r="AG202" s="279">
        <f t="shared" si="88"/>
        <v>0</v>
      </c>
      <c r="AH202" s="418">
        <f t="shared" si="89"/>
        <v>0</v>
      </c>
      <c r="AI202" s="296">
        <f>IF(Simulador!$T$67=1,'Tabla de amortizacion'!AJ202,'Tabla de amortizacion'!AR202)</f>
        <v>0.09</v>
      </c>
      <c r="AJ202" s="297">
        <f t="shared" si="105"/>
        <v>0.09</v>
      </c>
      <c r="AK202" s="298">
        <f t="shared" si="90"/>
        <v>0</v>
      </c>
      <c r="AL202" s="298"/>
      <c r="AM202" s="304"/>
      <c r="AN202" s="279"/>
      <c r="AO202" s="520">
        <f t="shared" si="104"/>
        <v>0.092</v>
      </c>
      <c r="AP202" s="299">
        <v>0</v>
      </c>
      <c r="AQ202" s="414">
        <f t="shared" si="91"/>
        <v>0</v>
      </c>
      <c r="AR202" s="300">
        <f>IF(AND(Simulador!$T$67=2,Simulador!$T$61=1),AL202,IF(AND(Simulador!$T$67=2,Simulador!$T$61=2),AM202,IF(AND(Simulador!$T$67=2,Simulador!$T$61=3),AN202,AO202)))</f>
        <v>0.092</v>
      </c>
      <c r="AS202" s="281"/>
      <c r="AT202" s="70">
        <f t="shared" si="100"/>
        <v>0</v>
      </c>
      <c r="AU202" s="70">
        <f t="shared" si="92"/>
        <v>0</v>
      </c>
      <c r="AV202" s="71">
        <f t="shared" si="81"/>
        <v>0</v>
      </c>
      <c r="AW202" s="70">
        <f t="shared" si="82"/>
        <v>0</v>
      </c>
      <c r="AX202" s="70">
        <f t="shared" si="93"/>
        <v>0</v>
      </c>
      <c r="AY202" s="72">
        <f t="shared" si="83"/>
      </c>
      <c r="AZ202" s="70">
        <f>_xlfn.IFERROR(IF(Simulador!$U$29=1,0,IF($AT202&lt;=0.01,0,$AT202*Simulador!$AA$42)),0)+_xlfn.IFERROR(IF(Simulador!$U$29=1,0,IF($AT202&lt;=0.01,0,IF(Simulador!$D$22&gt;0,Simulador!$D$22,Simulador!$O$24)*Simulador!$AA$43)),0)</f>
        <v>0</v>
      </c>
      <c r="BA202" s="73"/>
      <c r="BB202" s="70">
        <f t="shared" si="84"/>
        <v>0</v>
      </c>
      <c r="BC202">
        <f t="shared" si="94"/>
        <v>0</v>
      </c>
      <c r="BD202" s="431">
        <f t="shared" si="95"/>
      </c>
      <c r="BE202" s="432">
        <f t="shared" si="96"/>
        <v>0</v>
      </c>
      <c r="BF202" s="69">
        <v>188</v>
      </c>
      <c r="BG202" s="38"/>
      <c r="BJ202" s="69"/>
      <c r="BM202" s="432"/>
    </row>
    <row r="203" spans="1:65" ht="12">
      <c r="A203" s="531">
        <v>189</v>
      </c>
      <c r="B203" s="106">
        <f t="shared" si="97"/>
        <v>0</v>
      </c>
      <c r="C203" s="106"/>
      <c r="D203" s="107">
        <f>IF(B203+F203-D202&lt;=0,B203+F203,IF(AND(OR(Simulador!$U$38=2,Simulador!$U$38=7),J202=0),D202*(1+AA203),IF($AE$3=2,B203*AQ203,D202*(1+AA203))))</f>
        <v>0</v>
      </c>
      <c r="E203" s="107"/>
      <c r="F203" s="107">
        <f t="shared" si="78"/>
        <v>0</v>
      </c>
      <c r="G203" s="107"/>
      <c r="H203" s="107">
        <f t="shared" si="98"/>
        <v>0</v>
      </c>
      <c r="I203" s="108"/>
      <c r="J203" s="109"/>
      <c r="K203" s="108"/>
      <c r="L203" s="107">
        <f>IF(Simulador!$T$40=1,0,J203*Simulador!$W$38*1.16)</f>
        <v>0</v>
      </c>
      <c r="M203" s="107"/>
      <c r="N203" s="111"/>
      <c r="O203" s="13"/>
      <c r="P203" s="664">
        <f t="shared" si="79"/>
      </c>
      <c r="Q203" s="3"/>
      <c r="R203" s="107">
        <f t="shared" si="85"/>
        <v>0</v>
      </c>
      <c r="S203" s="107"/>
      <c r="T203" s="107">
        <f>_xlfn.IFERROR(IF(Simulador!$U$29=1,0,IF($B203&lt;=0,0,$B203*Simulador!$AA$42)),0)</f>
        <v>0</v>
      </c>
      <c r="U203" s="107"/>
      <c r="V203" s="107">
        <f>_xlfn.IFERROR(IF(Simulador!$U$29=1,0,IF($B203&lt;=0,0,IF(Simulador!$D$22&gt;0,Simulador!$D$22,Simulador!$O$24)*Simulador!$AA$43)),0)</f>
        <v>0</v>
      </c>
      <c r="W203" s="107"/>
      <c r="X203" s="107"/>
      <c r="Y203" s="107">
        <f t="shared" si="80"/>
        <v>0</v>
      </c>
      <c r="Z203" s="14"/>
      <c r="AA203" s="19"/>
      <c r="AB203" s="24"/>
      <c r="AC203" s="303">
        <v>15</v>
      </c>
      <c r="AD203" s="302">
        <v>9</v>
      </c>
      <c r="AE203" s="400">
        <f t="shared" si="86"/>
        <v>0</v>
      </c>
      <c r="AF203" s="279">
        <f t="shared" si="87"/>
        <v>0</v>
      </c>
      <c r="AG203" s="279">
        <f t="shared" si="88"/>
        <v>0</v>
      </c>
      <c r="AH203" s="418">
        <f t="shared" si="89"/>
        <v>0</v>
      </c>
      <c r="AI203" s="296">
        <f>IF(Simulador!$T$67=1,'Tabla de amortizacion'!AJ203,'Tabla de amortizacion'!AR203)</f>
        <v>0.09</v>
      </c>
      <c r="AJ203" s="297">
        <f t="shared" si="105"/>
        <v>0.09</v>
      </c>
      <c r="AK203" s="298">
        <f t="shared" si="90"/>
        <v>0</v>
      </c>
      <c r="AL203" s="298"/>
      <c r="AM203" s="304"/>
      <c r="AN203" s="279"/>
      <c r="AO203" s="520">
        <f t="shared" si="104"/>
        <v>0.092</v>
      </c>
      <c r="AP203" s="299">
        <v>0</v>
      </c>
      <c r="AQ203" s="414">
        <f t="shared" si="91"/>
        <v>0</v>
      </c>
      <c r="AR203" s="300">
        <f>IF(AND(Simulador!$T$67=2,Simulador!$T$61=1),AL203,IF(AND(Simulador!$T$67=2,Simulador!$T$61=2),AM203,IF(AND(Simulador!$T$67=2,Simulador!$T$61=3),AN203,AO203)))</f>
        <v>0.092</v>
      </c>
      <c r="AS203" s="281"/>
      <c r="AT203" s="70">
        <f t="shared" si="100"/>
        <v>0</v>
      </c>
      <c r="AU203" s="70">
        <f t="shared" si="92"/>
        <v>0</v>
      </c>
      <c r="AV203" s="71">
        <f t="shared" si="81"/>
        <v>0</v>
      </c>
      <c r="AW203" s="70">
        <f t="shared" si="82"/>
        <v>0</v>
      </c>
      <c r="AX203" s="70">
        <f t="shared" si="93"/>
        <v>0</v>
      </c>
      <c r="AY203" s="72">
        <f t="shared" si="83"/>
      </c>
      <c r="AZ203" s="70">
        <f>_xlfn.IFERROR(IF(Simulador!$U$29=1,0,IF($AT203&lt;=0.01,0,$AT203*Simulador!$AA$42)),0)+_xlfn.IFERROR(IF(Simulador!$U$29=1,0,IF($AT203&lt;=0.01,0,IF(Simulador!$D$22&gt;0,Simulador!$D$22,Simulador!$O$24)*Simulador!$AA$43)),0)</f>
        <v>0</v>
      </c>
      <c r="BA203" s="73"/>
      <c r="BB203" s="70">
        <f t="shared" si="84"/>
        <v>0</v>
      </c>
      <c r="BC203">
        <f t="shared" si="94"/>
        <v>0</v>
      </c>
      <c r="BD203" s="431">
        <f t="shared" si="95"/>
      </c>
      <c r="BE203" s="432">
        <f t="shared" si="96"/>
        <v>0</v>
      </c>
      <c r="BF203" s="69">
        <v>189</v>
      </c>
      <c r="BG203" s="38"/>
      <c r="BJ203" s="69"/>
      <c r="BM203" s="432"/>
    </row>
    <row r="204" spans="1:65" ht="12">
      <c r="A204" s="531">
        <v>190</v>
      </c>
      <c r="B204" s="106">
        <f t="shared" si="97"/>
        <v>0</v>
      </c>
      <c r="C204" s="106"/>
      <c r="D204" s="107">
        <f>IF(B204+F204-D203&lt;=0,B204+F204,IF(AND(OR(Simulador!$U$38=2,Simulador!$U$38=7),J203=0),D203*(1+AA204),IF($AE$3=2,B204*AQ204,D203*(1+AA204))))</f>
        <v>0</v>
      </c>
      <c r="E204" s="107"/>
      <c r="F204" s="107">
        <f t="shared" si="78"/>
        <v>0</v>
      </c>
      <c r="G204" s="107"/>
      <c r="H204" s="107">
        <f t="shared" si="98"/>
        <v>0</v>
      </c>
      <c r="I204" s="108"/>
      <c r="J204" s="109"/>
      <c r="K204" s="108"/>
      <c r="L204" s="107">
        <f>IF(Simulador!$T$40=1,0,J204*Simulador!$W$38*1.16)</f>
        <v>0</v>
      </c>
      <c r="M204" s="107"/>
      <c r="N204" s="110">
        <f>IF(B204-H204=0,0,N202)</f>
        <v>0</v>
      </c>
      <c r="O204" s="13"/>
      <c r="P204" s="664">
        <f t="shared" si="79"/>
      </c>
      <c r="Q204" s="3"/>
      <c r="R204" s="107">
        <f t="shared" si="85"/>
        <v>0</v>
      </c>
      <c r="S204" s="107"/>
      <c r="T204" s="107">
        <f>_xlfn.IFERROR(IF(Simulador!$U$29=1,0,IF($B204&lt;=0,0,$B204*Simulador!$AA$42)),0)</f>
        <v>0</v>
      </c>
      <c r="U204" s="107"/>
      <c r="V204" s="107">
        <f>_xlfn.IFERROR(IF(Simulador!$U$29=1,0,IF($B204&lt;=0,0,IF(Simulador!$D$22&gt;0,Simulador!$D$22,Simulador!$O$24)*Simulador!$AA$43)),0)</f>
        <v>0</v>
      </c>
      <c r="W204" s="107"/>
      <c r="X204" s="107"/>
      <c r="Y204" s="107">
        <f t="shared" si="80"/>
        <v>0</v>
      </c>
      <c r="Z204" s="14"/>
      <c r="AA204" s="19"/>
      <c r="AB204" s="24"/>
      <c r="AC204" s="303">
        <v>15</v>
      </c>
      <c r="AD204" s="302">
        <v>10</v>
      </c>
      <c r="AE204" s="400">
        <f t="shared" si="86"/>
        <v>0</v>
      </c>
      <c r="AF204" s="279">
        <f t="shared" si="87"/>
        <v>0</v>
      </c>
      <c r="AG204" s="279">
        <f t="shared" si="88"/>
        <v>0</v>
      </c>
      <c r="AH204" s="418">
        <f t="shared" si="89"/>
        <v>0</v>
      </c>
      <c r="AI204" s="296">
        <f>IF(Simulador!$T$67=1,'Tabla de amortizacion'!AJ204,'Tabla de amortizacion'!AR204)</f>
        <v>0.09</v>
      </c>
      <c r="AJ204" s="297">
        <f t="shared" si="105"/>
        <v>0.09</v>
      </c>
      <c r="AK204" s="298">
        <f t="shared" si="90"/>
        <v>0</v>
      </c>
      <c r="AL204" s="298"/>
      <c r="AM204" s="304"/>
      <c r="AN204" s="279"/>
      <c r="AO204" s="520">
        <f t="shared" si="104"/>
        <v>0.092</v>
      </c>
      <c r="AP204" s="299">
        <v>0</v>
      </c>
      <c r="AQ204" s="414">
        <f t="shared" si="91"/>
        <v>0</v>
      </c>
      <c r="AR204" s="300">
        <f>IF(AND(Simulador!$T$67=2,Simulador!$T$61=1),AL204,IF(AND(Simulador!$T$67=2,Simulador!$T$61=2),AM204,IF(AND(Simulador!$T$67=2,Simulador!$T$61=3),AN204,AO204)))</f>
        <v>0.092</v>
      </c>
      <c r="AS204" s="281"/>
      <c r="AT204" s="70">
        <f t="shared" si="100"/>
        <v>0</v>
      </c>
      <c r="AU204" s="70">
        <f t="shared" si="92"/>
        <v>0</v>
      </c>
      <c r="AV204" s="71">
        <f t="shared" si="81"/>
        <v>0</v>
      </c>
      <c r="AW204" s="70">
        <f t="shared" si="82"/>
        <v>0</v>
      </c>
      <c r="AX204" s="70">
        <f t="shared" si="93"/>
        <v>0</v>
      </c>
      <c r="AY204" s="72">
        <f t="shared" si="83"/>
      </c>
      <c r="AZ204" s="70">
        <f>_xlfn.IFERROR(IF(Simulador!$U$29=1,0,IF($AT204&lt;=0.01,0,$AT204*Simulador!$AA$42)),0)+_xlfn.IFERROR(IF(Simulador!$U$29=1,0,IF($AT204&lt;=0.01,0,IF(Simulador!$D$22&gt;0,Simulador!$D$22,Simulador!$O$24)*Simulador!$AA$43)),0)</f>
        <v>0</v>
      </c>
      <c r="BA204" s="73"/>
      <c r="BB204" s="70">
        <f t="shared" si="84"/>
        <v>0</v>
      </c>
      <c r="BC204">
        <f t="shared" si="94"/>
        <v>0</v>
      </c>
      <c r="BD204" s="431">
        <f t="shared" si="95"/>
      </c>
      <c r="BE204" s="432">
        <f t="shared" si="96"/>
        <v>0</v>
      </c>
      <c r="BF204" s="69">
        <v>190</v>
      </c>
      <c r="BG204" s="38"/>
      <c r="BJ204" s="69"/>
      <c r="BM204" s="432"/>
    </row>
    <row r="205" spans="1:65" ht="12">
      <c r="A205" s="531">
        <v>191</v>
      </c>
      <c r="B205" s="106">
        <f t="shared" si="97"/>
        <v>0</v>
      </c>
      <c r="C205" s="106"/>
      <c r="D205" s="107">
        <f>IF(B205+F205-D204&lt;=0,B205+F205,IF(AND(OR(Simulador!$U$38=2,Simulador!$U$38=7),J204=0),D204*(1+AA205),IF($AE$3=2,B205*AQ205,D204*(1+AA205))))</f>
        <v>0</v>
      </c>
      <c r="E205" s="107"/>
      <c r="F205" s="107">
        <f t="shared" si="78"/>
        <v>0</v>
      </c>
      <c r="G205" s="107"/>
      <c r="H205" s="107">
        <f t="shared" si="98"/>
        <v>0</v>
      </c>
      <c r="I205" s="108"/>
      <c r="J205" s="109"/>
      <c r="K205" s="108"/>
      <c r="L205" s="107">
        <f>IF(Simulador!$T$40=1,0,J205*Simulador!$W$38*1.16)</f>
        <v>0</v>
      </c>
      <c r="M205" s="107"/>
      <c r="N205" s="111"/>
      <c r="O205" s="13"/>
      <c r="P205" s="664">
        <f t="shared" si="79"/>
      </c>
      <c r="Q205" s="3"/>
      <c r="R205" s="107">
        <f t="shared" si="85"/>
        <v>0</v>
      </c>
      <c r="S205" s="107"/>
      <c r="T205" s="107">
        <f>_xlfn.IFERROR(IF(Simulador!$U$29=1,0,IF($B205&lt;=0,0,$B205*Simulador!$AA$42)),0)</f>
        <v>0</v>
      </c>
      <c r="U205" s="107"/>
      <c r="V205" s="107">
        <f>_xlfn.IFERROR(IF(Simulador!$U$29=1,0,IF($B205&lt;=0,0,IF(Simulador!$D$22&gt;0,Simulador!$D$22,Simulador!$O$24)*Simulador!$AA$43)),0)</f>
        <v>0</v>
      </c>
      <c r="W205" s="107"/>
      <c r="X205" s="107"/>
      <c r="Y205" s="107">
        <f t="shared" si="80"/>
        <v>0</v>
      </c>
      <c r="Z205" s="14"/>
      <c r="AA205" s="19"/>
      <c r="AB205" s="24"/>
      <c r="AC205" s="303">
        <v>15</v>
      </c>
      <c r="AD205" s="295">
        <v>11</v>
      </c>
      <c r="AE205" s="400">
        <f t="shared" si="86"/>
        <v>0</v>
      </c>
      <c r="AF205" s="279">
        <f t="shared" si="87"/>
        <v>0</v>
      </c>
      <c r="AG205" s="279">
        <f t="shared" si="88"/>
        <v>0</v>
      </c>
      <c r="AH205" s="418">
        <f t="shared" si="89"/>
        <v>0</v>
      </c>
      <c r="AI205" s="296">
        <f>IF(Simulador!$T$67=1,'Tabla de amortizacion'!AJ205,'Tabla de amortizacion'!AR205)</f>
        <v>0.09</v>
      </c>
      <c r="AJ205" s="297">
        <f t="shared" si="105"/>
        <v>0.09</v>
      </c>
      <c r="AK205" s="298">
        <f t="shared" si="90"/>
        <v>0</v>
      </c>
      <c r="AL205" s="298"/>
      <c r="AM205" s="304"/>
      <c r="AN205" s="279"/>
      <c r="AO205" s="520">
        <f t="shared" si="104"/>
        <v>0.092</v>
      </c>
      <c r="AP205" s="299">
        <v>0</v>
      </c>
      <c r="AQ205" s="414">
        <f t="shared" si="91"/>
        <v>0</v>
      </c>
      <c r="AR205" s="300">
        <f>IF(AND(Simulador!$T$67=2,Simulador!$T$61=1),AL205,IF(AND(Simulador!$T$67=2,Simulador!$T$61=2),AM205,IF(AND(Simulador!$T$67=2,Simulador!$T$61=3),AN205,AO205)))</f>
        <v>0.092</v>
      </c>
      <c r="AS205" s="281"/>
      <c r="AT205" s="70">
        <f t="shared" si="100"/>
        <v>0</v>
      </c>
      <c r="AU205" s="70">
        <f t="shared" si="92"/>
        <v>0</v>
      </c>
      <c r="AV205" s="71">
        <f t="shared" si="81"/>
        <v>0</v>
      </c>
      <c r="AW205" s="70">
        <f t="shared" si="82"/>
        <v>0</v>
      </c>
      <c r="AX205" s="70">
        <f t="shared" si="93"/>
        <v>0</v>
      </c>
      <c r="AY205" s="72">
        <f t="shared" si="83"/>
      </c>
      <c r="AZ205" s="70">
        <f>_xlfn.IFERROR(IF(Simulador!$U$29=1,0,IF($AT205&lt;=0.01,0,$AT205*Simulador!$AA$42)),0)+_xlfn.IFERROR(IF(Simulador!$U$29=1,0,IF($AT205&lt;=0.01,0,IF(Simulador!$D$22&gt;0,Simulador!$D$22,Simulador!$O$24)*Simulador!$AA$43)),0)</f>
        <v>0</v>
      </c>
      <c r="BA205" s="73"/>
      <c r="BB205" s="70">
        <f t="shared" si="84"/>
        <v>0</v>
      </c>
      <c r="BC205">
        <f t="shared" si="94"/>
        <v>0</v>
      </c>
      <c r="BD205" s="431">
        <f t="shared" si="95"/>
      </c>
      <c r="BE205" s="432">
        <f t="shared" si="96"/>
        <v>0</v>
      </c>
      <c r="BF205" s="69">
        <v>191</v>
      </c>
      <c r="BG205" s="38"/>
      <c r="BJ205" s="69"/>
      <c r="BM205" s="432"/>
    </row>
    <row r="206" spans="1:65" ht="12">
      <c r="A206" s="531">
        <v>192</v>
      </c>
      <c r="B206" s="106">
        <f t="shared" si="97"/>
        <v>0</v>
      </c>
      <c r="C206" s="106"/>
      <c r="D206" s="107">
        <f>IF(B206+F206-D205&lt;=0,B206+F206,IF(AND(OR(Simulador!$U$38=2,Simulador!$U$38=7),J205=0),D205*(1+AA206),IF($AE$3=2,B206*AQ206,D205*(1+AA206))))</f>
        <v>0</v>
      </c>
      <c r="E206" s="107"/>
      <c r="F206" s="107">
        <f t="shared" si="78"/>
        <v>0</v>
      </c>
      <c r="G206" s="107"/>
      <c r="H206" s="107">
        <f t="shared" si="98"/>
        <v>0</v>
      </c>
      <c r="I206" s="108"/>
      <c r="J206" s="109"/>
      <c r="K206" s="108"/>
      <c r="L206" s="107">
        <f>IF(Simulador!$T$40=1,0,J206*Simulador!$W$38*1.16)</f>
        <v>0</v>
      </c>
      <c r="M206" s="107"/>
      <c r="N206" s="110">
        <f>IF(B206-H206=0,0,N204)</f>
        <v>0</v>
      </c>
      <c r="O206" s="13"/>
      <c r="P206" s="664">
        <f t="shared" si="79"/>
      </c>
      <c r="Q206" s="3"/>
      <c r="R206" s="107">
        <f t="shared" si="85"/>
        <v>0</v>
      </c>
      <c r="S206" s="107"/>
      <c r="T206" s="107">
        <f>_xlfn.IFERROR(IF(Simulador!$U$29=1,0,IF($B206&lt;=0,0,$B206*Simulador!$AA$42)),0)</f>
        <v>0</v>
      </c>
      <c r="U206" s="107"/>
      <c r="V206" s="107">
        <f>_xlfn.IFERROR(IF(Simulador!$U$29=1,0,IF($B206&lt;=0,0,IF(Simulador!$D$22&gt;0,Simulador!$D$22,Simulador!$O$24)*Simulador!$AA$43)),0)</f>
        <v>0</v>
      </c>
      <c r="W206" s="107"/>
      <c r="X206" s="107"/>
      <c r="Y206" s="107">
        <f t="shared" si="80"/>
        <v>0</v>
      </c>
      <c r="Z206" s="14"/>
      <c r="AA206" s="19"/>
      <c r="AB206" s="24"/>
      <c r="AC206" s="303">
        <v>16</v>
      </c>
      <c r="AD206" s="295">
        <v>0</v>
      </c>
      <c r="AE206" s="400">
        <f t="shared" si="86"/>
        <v>0</v>
      </c>
      <c r="AF206" s="279">
        <f t="shared" si="87"/>
        <v>0</v>
      </c>
      <c r="AG206" s="279">
        <f t="shared" si="88"/>
        <v>0</v>
      </c>
      <c r="AH206" s="418">
        <f t="shared" si="89"/>
        <v>0</v>
      </c>
      <c r="AI206" s="296">
        <f>IF(Simulador!$T$67=1,'Tabla de amortizacion'!AJ206,'Tabla de amortizacion'!AR206)</f>
        <v>0.09</v>
      </c>
      <c r="AJ206" s="297">
        <f t="shared" si="105"/>
        <v>0.09</v>
      </c>
      <c r="AK206" s="298">
        <f t="shared" si="90"/>
        <v>0</v>
      </c>
      <c r="AL206" s="298"/>
      <c r="AM206" s="304"/>
      <c r="AN206" s="279"/>
      <c r="AO206" s="520">
        <f t="shared" si="104"/>
        <v>0.092</v>
      </c>
      <c r="AP206" s="299">
        <v>0</v>
      </c>
      <c r="AQ206" s="414">
        <f t="shared" si="91"/>
        <v>0</v>
      </c>
      <c r="AR206" s="300">
        <f>IF(AND(Simulador!$T$67=2,Simulador!$T$61=1),AL206,IF(AND(Simulador!$T$67=2,Simulador!$T$61=2),AM206,IF(AND(Simulador!$T$67=2,Simulador!$T$61=3),AN206,AO206)))</f>
        <v>0.092</v>
      </c>
      <c r="AS206" s="281"/>
      <c r="AT206" s="70">
        <f t="shared" si="100"/>
        <v>0</v>
      </c>
      <c r="AU206" s="70">
        <f t="shared" si="92"/>
        <v>0</v>
      </c>
      <c r="AV206" s="71">
        <f t="shared" si="81"/>
        <v>0</v>
      </c>
      <c r="AW206" s="70">
        <f t="shared" si="82"/>
        <v>0</v>
      </c>
      <c r="AX206" s="70">
        <f t="shared" si="93"/>
        <v>0</v>
      </c>
      <c r="AY206" s="72">
        <f t="shared" si="83"/>
      </c>
      <c r="AZ206" s="70">
        <f>_xlfn.IFERROR(IF(Simulador!$U$29=1,0,IF($AT206&lt;=0.01,0,$AT206*Simulador!$AA$42)),0)+_xlfn.IFERROR(IF(Simulador!$U$29=1,0,IF($AT206&lt;=0.01,0,IF(Simulador!$D$22&gt;0,Simulador!$D$22,Simulador!$O$24)*Simulador!$AA$43)),0)</f>
        <v>0</v>
      </c>
      <c r="BA206" s="73"/>
      <c r="BB206" s="70">
        <f t="shared" si="84"/>
        <v>0</v>
      </c>
      <c r="BC206">
        <f t="shared" si="94"/>
        <v>0</v>
      </c>
      <c r="BD206" s="431">
        <f t="shared" si="95"/>
      </c>
      <c r="BE206" s="432">
        <f t="shared" si="96"/>
        <v>0</v>
      </c>
      <c r="BF206" s="69">
        <v>192</v>
      </c>
      <c r="BG206" s="38"/>
      <c r="BJ206" s="69"/>
      <c r="BM206" s="432"/>
    </row>
    <row r="207" spans="1:65" ht="12">
      <c r="A207" s="531">
        <v>193</v>
      </c>
      <c r="B207" s="106">
        <f t="shared" si="97"/>
        <v>0</v>
      </c>
      <c r="C207" s="106"/>
      <c r="D207" s="107">
        <f>IF(B207+F207-D206&lt;=0,B207+F207,IF(AND(OR(Simulador!$U$38=2,Simulador!$U$38=7),J206=0),D206*(1+AA207),IF($AE$3=2,B207*AQ207,D206*(1+AA207))))</f>
        <v>0</v>
      </c>
      <c r="E207" s="107"/>
      <c r="F207" s="107">
        <f aca="true" t="shared" si="106" ref="F207:F254">_xlfn.IFERROR(IF(B207=0,0,P207/360*BE207*B207),0)</f>
        <v>0</v>
      </c>
      <c r="G207" s="107"/>
      <c r="H207" s="107">
        <f t="shared" si="98"/>
        <v>0</v>
      </c>
      <c r="I207" s="108"/>
      <c r="J207" s="109"/>
      <c r="K207" s="108"/>
      <c r="L207" s="107">
        <f>IF(Simulador!$T$40=1,0,J207*Simulador!$W$38*1.16)</f>
        <v>0</v>
      </c>
      <c r="M207" s="107"/>
      <c r="N207" s="111"/>
      <c r="O207" s="13"/>
      <c r="P207" s="664">
        <f aca="true" t="shared" si="107" ref="P207:P254">IF(B207=0,"",AI207)</f>
      </c>
      <c r="Q207" s="3"/>
      <c r="R207" s="107">
        <f t="shared" si="85"/>
        <v>0</v>
      </c>
      <c r="S207" s="107"/>
      <c r="T207" s="107">
        <f>_xlfn.IFERROR(IF(Simulador!$U$29=1,0,IF($B207&lt;=0,0,$B207*Simulador!$AA$42)),0)</f>
        <v>0</v>
      </c>
      <c r="U207" s="107"/>
      <c r="V207" s="107">
        <f>_xlfn.IFERROR(IF(Simulador!$U$29=1,0,IF($B207&lt;=0,0,IF(Simulador!$D$22&gt;0,Simulador!$D$22,Simulador!$O$24)*Simulador!$AA$43)),0)</f>
        <v>0</v>
      </c>
      <c r="W207" s="107"/>
      <c r="X207" s="107"/>
      <c r="Y207" s="107">
        <f aca="true" t="shared" si="108" ref="Y207:Y254">IF(B207&lt;=0,0,D207+J207+T207+V207)</f>
        <v>0</v>
      </c>
      <c r="Z207" s="14"/>
      <c r="AA207" s="19">
        <f>IF(B207&lt;=0,0,Simulador!$I$42)</f>
        <v>0</v>
      </c>
      <c r="AB207" s="24"/>
      <c r="AC207" s="303">
        <v>16</v>
      </c>
      <c r="AD207" s="295">
        <v>1</v>
      </c>
      <c r="AE207" s="400">
        <f t="shared" si="86"/>
        <v>0</v>
      </c>
      <c r="AF207" s="279">
        <f t="shared" si="87"/>
        <v>0</v>
      </c>
      <c r="AG207" s="279">
        <f t="shared" si="88"/>
        <v>0</v>
      </c>
      <c r="AH207" s="418">
        <f t="shared" si="89"/>
        <v>0</v>
      </c>
      <c r="AI207" s="296">
        <f>IF(Simulador!$T$67=1,'Tabla de amortizacion'!AJ207,'Tabla de amortizacion'!AR207)</f>
        <v>0.09</v>
      </c>
      <c r="AJ207" s="297">
        <f>IF(AJ206=$AM$4,AJ206,IF(AJ206-0.25%&lt;=$AM$4,$AM$4,AJ206-0.25%))</f>
        <v>0.09</v>
      </c>
      <c r="AK207" s="298">
        <f t="shared" si="90"/>
        <v>0</v>
      </c>
      <c r="AL207" s="298"/>
      <c r="AM207" s="304"/>
      <c r="AN207" s="279"/>
      <c r="AO207" s="520">
        <f t="shared" si="104"/>
        <v>0.092</v>
      </c>
      <c r="AP207" s="299">
        <v>0</v>
      </c>
      <c r="AQ207" s="414">
        <f t="shared" si="91"/>
        <v>0</v>
      </c>
      <c r="AR207" s="300">
        <f>IF(AND(Simulador!$T$67=2,Simulador!$T$61=1),AL207,IF(AND(Simulador!$T$67=2,Simulador!$T$61=2),AM207,IF(AND(Simulador!$T$67=2,Simulador!$T$61=3),AN207,AO207)))</f>
        <v>0.092</v>
      </c>
      <c r="AS207" s="281"/>
      <c r="AT207" s="70">
        <f t="shared" si="100"/>
        <v>0</v>
      </c>
      <c r="AU207" s="70">
        <f t="shared" si="92"/>
        <v>0</v>
      </c>
      <c r="AV207" s="71">
        <f aca="true" t="shared" si="109" ref="AV207:AV254">_xlfn.IFERROR((AY207/360*BE207*AT207),0)</f>
        <v>0</v>
      </c>
      <c r="AW207" s="70">
        <f aca="true" t="shared" si="110" ref="AW207:AW254">+AU207-AV207</f>
        <v>0</v>
      </c>
      <c r="AX207" s="70">
        <f t="shared" si="93"/>
        <v>0</v>
      </c>
      <c r="AY207" s="72">
        <f aca="true" t="shared" si="111" ref="AY207:AY254">IF(AT207=0,"",AI207)</f>
      </c>
      <c r="AZ207" s="70">
        <f>_xlfn.IFERROR(IF(Simulador!$U$29=1,0,IF($AT207&lt;=0.01,0,$AT207*Simulador!$AA$42)),0)+_xlfn.IFERROR(IF(Simulador!$U$29=1,0,IF($AT207&lt;=0.01,0,IF(Simulador!$D$22&gt;0,Simulador!$D$22,Simulador!$O$24)*Simulador!$AA$43)),0)</f>
        <v>0</v>
      </c>
      <c r="BA207" s="73">
        <f>IF(AT207&lt;=0,0,$BA$27)</f>
        <v>0</v>
      </c>
      <c r="BB207" s="70">
        <f aca="true" t="shared" si="112" ref="BB207:BB254">AV207+AW207+AZ207</f>
        <v>0</v>
      </c>
      <c r="BC207">
        <f t="shared" si="94"/>
        <v>0</v>
      </c>
      <c r="BD207" s="431">
        <f t="shared" si="95"/>
      </c>
      <c r="BE207" s="432">
        <f t="shared" si="96"/>
        <v>0</v>
      </c>
      <c r="BF207" s="69">
        <v>193</v>
      </c>
      <c r="BG207" s="38"/>
      <c r="BJ207" s="69"/>
      <c r="BM207" s="432"/>
    </row>
    <row r="208" spans="1:65" ht="12">
      <c r="A208" s="531">
        <v>194</v>
      </c>
      <c r="B208" s="106">
        <f t="shared" si="97"/>
        <v>0</v>
      </c>
      <c r="C208" s="106"/>
      <c r="D208" s="107">
        <f>IF(B208+F208-D207&lt;=0,B208+F208,IF(AND(OR(Simulador!$U$38=2,Simulador!$U$38=7),J207=0),D207*(1+AA208),IF($AE$3=2,B208*AQ208,D207*(1+AA208))))</f>
        <v>0</v>
      </c>
      <c r="E208" s="107"/>
      <c r="F208" s="107">
        <f t="shared" si="106"/>
        <v>0</v>
      </c>
      <c r="G208" s="107"/>
      <c r="H208" s="107">
        <f t="shared" si="98"/>
        <v>0</v>
      </c>
      <c r="I208" s="108"/>
      <c r="J208" s="109"/>
      <c r="K208" s="108"/>
      <c r="L208" s="107">
        <f>IF(Simulador!$T$40=1,0,J208*Simulador!$W$38*1.16)</f>
        <v>0</v>
      </c>
      <c r="M208" s="107"/>
      <c r="N208" s="110">
        <f>IF(B208-H208=0,0,N206*(1+(Simulador!$AF$76)))</f>
        <v>0</v>
      </c>
      <c r="O208" s="13"/>
      <c r="P208" s="664">
        <f t="shared" si="107"/>
      </c>
      <c r="Q208" s="3"/>
      <c r="R208" s="107">
        <f aca="true" t="shared" si="113" ref="R208:R254">B208-H208-J208+L208-N208</f>
        <v>0</v>
      </c>
      <c r="S208" s="107"/>
      <c r="T208" s="107">
        <f>_xlfn.IFERROR(IF(Simulador!$U$29=1,0,IF($B208&lt;=0,0,$B208*Simulador!$AA$42)),0)</f>
        <v>0</v>
      </c>
      <c r="U208" s="107"/>
      <c r="V208" s="107">
        <f>_xlfn.IFERROR(IF(Simulador!$U$29=1,0,IF($B208&lt;=0,0,IF(Simulador!$D$22&gt;0,Simulador!$D$22,Simulador!$O$24)*Simulador!$AA$43)),0)</f>
        <v>0</v>
      </c>
      <c r="W208" s="107"/>
      <c r="X208" s="107"/>
      <c r="Y208" s="107">
        <f t="shared" si="108"/>
        <v>0</v>
      </c>
      <c r="Z208" s="14"/>
      <c r="AA208" s="19"/>
      <c r="AB208" s="24"/>
      <c r="AC208" s="303">
        <v>16</v>
      </c>
      <c r="AD208" s="301">
        <v>2</v>
      </c>
      <c r="AE208" s="400">
        <f aca="true" t="shared" si="114" ref="AE208:AE254">IF(R208&lt;=0,IF(R207&gt;0,A208,0),0)</f>
        <v>0</v>
      </c>
      <c r="AF208" s="279">
        <f aca="true" t="shared" si="115" ref="AF208:AF254">IF(AE208&gt;0,AC208,0)</f>
        <v>0</v>
      </c>
      <c r="AG208" s="279">
        <f aca="true" t="shared" si="116" ref="AG208:AG254">IF(AE208&gt;0,AD208,0)</f>
        <v>0</v>
      </c>
      <c r="AH208" s="418">
        <f aca="true" t="shared" si="117" ref="AH208:AH254">Y208</f>
        <v>0</v>
      </c>
      <c r="AI208" s="296">
        <f>IF(Simulador!$T$67=1,'Tabla de amortizacion'!AJ208,'Tabla de amortizacion'!AR208)</f>
        <v>0.09</v>
      </c>
      <c r="AJ208" s="297">
        <f>AJ207</f>
        <v>0.09</v>
      </c>
      <c r="AK208" s="298">
        <f aca="true" t="shared" si="118" ref="AK208:AK252">AK207*(1+AA208)</f>
        <v>0</v>
      </c>
      <c r="AL208" s="298"/>
      <c r="AM208" s="304"/>
      <c r="AN208" s="279"/>
      <c r="AO208" s="520">
        <f t="shared" si="104"/>
        <v>0.092</v>
      </c>
      <c r="AP208" s="299">
        <v>0</v>
      </c>
      <c r="AQ208" s="414">
        <f aca="true" t="shared" si="119" ref="AQ208:AQ254">_xlfn.IFERROR((AU208/AT208),0)</f>
        <v>0</v>
      </c>
      <c r="AR208" s="300">
        <f>IF(AND(Simulador!$T$67=2,Simulador!$T$61=1),AL208,IF(AND(Simulador!$T$67=2,Simulador!$T$61=2),AM208,IF(AND(Simulador!$T$67=2,Simulador!$T$61=3),AN208,AO208)))</f>
        <v>0.092</v>
      </c>
      <c r="AS208" s="281"/>
      <c r="AT208" s="70">
        <f t="shared" si="100"/>
        <v>0</v>
      </c>
      <c r="AU208" s="70">
        <f aca="true" t="shared" si="120" ref="AU208:AU254">_xlfn.IFERROR((IF(AT208+AV208-AU207&lt;0,AT208+AV208,AU207*(1+BA208))),0)</f>
        <v>0</v>
      </c>
      <c r="AV208" s="71">
        <f t="shared" si="109"/>
        <v>0</v>
      </c>
      <c r="AW208" s="70">
        <f t="shared" si="110"/>
        <v>0</v>
      </c>
      <c r="AX208" s="70">
        <f aca="true" t="shared" si="121" ref="AX208:AX254">+AT208-AW208</f>
        <v>0</v>
      </c>
      <c r="AY208" s="72">
        <f t="shared" si="111"/>
      </c>
      <c r="AZ208" s="70">
        <f>_xlfn.IFERROR(IF(Simulador!$U$29=1,0,IF($AT208&lt;=0.01,0,$AT208*Simulador!$AA$42)),0)+_xlfn.IFERROR(IF(Simulador!$U$29=1,0,IF($AT208&lt;=0.01,0,IF(Simulador!$D$22&gt;0,Simulador!$D$22,Simulador!$O$24)*Simulador!$AA$43)),0)</f>
        <v>0</v>
      </c>
      <c r="BA208" s="73"/>
      <c r="BB208" s="70">
        <f t="shared" si="112"/>
        <v>0</v>
      </c>
      <c r="BC208">
        <f aca="true" t="shared" si="122" ref="BC208:BC254">_xlfn.IFERROR(IF(AU208&lt;=0.01,0,BC207-1),0)</f>
        <v>0</v>
      </c>
      <c r="BD208" s="431">
        <f aca="true" t="shared" si="123" ref="BD208:BD254">IF(AT208=0,"",DATE(YEAR(BD207),MONTH(BD207)+1,1))</f>
      </c>
      <c r="BE208" s="432">
        <f aca="true" t="shared" si="124" ref="BE208:BE254">_xlfn.IFERROR(DAY(DATE(YEAR(BD208),MONTH(BD208)+1,0)),0)</f>
        <v>0</v>
      </c>
      <c r="BF208" s="69">
        <v>194</v>
      </c>
      <c r="BG208" s="38"/>
      <c r="BJ208" s="69"/>
      <c r="BM208" s="432"/>
    </row>
    <row r="209" spans="1:65" ht="12">
      <c r="A209" s="531">
        <v>195</v>
      </c>
      <c r="B209" s="106">
        <f aca="true" t="shared" si="125" ref="B209:B252">IF(R208&lt;=0,0,R208)</f>
        <v>0</v>
      </c>
      <c r="C209" s="106"/>
      <c r="D209" s="107">
        <f>IF(B209+F209-D208&lt;=0,B209+F209,IF(AND(OR(Simulador!$U$38=2,Simulador!$U$38=7),J208=0),D208*(1+AA209),IF($AE$3=2,B209*AQ209,D208*(1+AA209))))</f>
        <v>0</v>
      </c>
      <c r="E209" s="107"/>
      <c r="F209" s="107">
        <f t="shared" si="106"/>
        <v>0</v>
      </c>
      <c r="G209" s="107"/>
      <c r="H209" s="107">
        <f aca="true" t="shared" si="126" ref="H209:H252">D209-F209</f>
        <v>0</v>
      </c>
      <c r="I209" s="108"/>
      <c r="J209" s="109"/>
      <c r="K209" s="108"/>
      <c r="L209" s="107">
        <f>IF(Simulador!$T$40=1,0,J209*Simulador!$W$38*1.16)</f>
        <v>0</v>
      </c>
      <c r="M209" s="107"/>
      <c r="N209" s="111"/>
      <c r="O209" s="13"/>
      <c r="P209" s="664">
        <f t="shared" si="107"/>
      </c>
      <c r="Q209" s="3"/>
      <c r="R209" s="107">
        <f t="shared" si="113"/>
        <v>0</v>
      </c>
      <c r="S209" s="107"/>
      <c r="T209" s="107">
        <f>_xlfn.IFERROR(IF(Simulador!$U$29=1,0,IF($B209&lt;=0,0,$B209*Simulador!$AA$42)),0)</f>
        <v>0</v>
      </c>
      <c r="U209" s="107"/>
      <c r="V209" s="107">
        <f>_xlfn.IFERROR(IF(Simulador!$U$29=1,0,IF($B209&lt;=0,0,IF(Simulador!$D$22&gt;0,Simulador!$D$22,Simulador!$O$24)*Simulador!$AA$43)),0)</f>
        <v>0</v>
      </c>
      <c r="W209" s="107"/>
      <c r="X209" s="107"/>
      <c r="Y209" s="107">
        <f t="shared" si="108"/>
        <v>0</v>
      </c>
      <c r="Z209" s="14"/>
      <c r="AA209" s="19"/>
      <c r="AB209" s="24"/>
      <c r="AC209" s="303">
        <v>16</v>
      </c>
      <c r="AD209" s="301">
        <v>3</v>
      </c>
      <c r="AE209" s="400">
        <f t="shared" si="114"/>
        <v>0</v>
      </c>
      <c r="AF209" s="279">
        <f t="shared" si="115"/>
        <v>0</v>
      </c>
      <c r="AG209" s="279">
        <f t="shared" si="116"/>
        <v>0</v>
      </c>
      <c r="AH209" s="418">
        <f t="shared" si="117"/>
        <v>0</v>
      </c>
      <c r="AI209" s="296">
        <f>IF(Simulador!$T$67=1,'Tabla de amortizacion'!AJ209,'Tabla de amortizacion'!AR209)</f>
        <v>0.09</v>
      </c>
      <c r="AJ209" s="297">
        <f aca="true" t="shared" si="127" ref="AJ209:AJ218">AJ208</f>
        <v>0.09</v>
      </c>
      <c r="AK209" s="298">
        <f t="shared" si="118"/>
        <v>0</v>
      </c>
      <c r="AL209" s="298"/>
      <c r="AM209" s="304"/>
      <c r="AN209" s="279"/>
      <c r="AO209" s="520">
        <f t="shared" si="104"/>
        <v>0.092</v>
      </c>
      <c r="AP209" s="299">
        <v>0</v>
      </c>
      <c r="AQ209" s="414">
        <f t="shared" si="119"/>
        <v>0</v>
      </c>
      <c r="AR209" s="300">
        <f>IF(AND(Simulador!$T$67=2,Simulador!$T$61=1),AL209,IF(AND(Simulador!$T$67=2,Simulador!$T$61=2),AM209,IF(AND(Simulador!$T$67=2,Simulador!$T$61=3),AN209,AO209)))</f>
        <v>0.092</v>
      </c>
      <c r="AS209" s="281"/>
      <c r="AT209" s="70">
        <f t="shared" si="100"/>
        <v>0</v>
      </c>
      <c r="AU209" s="70">
        <f t="shared" si="120"/>
        <v>0</v>
      </c>
      <c r="AV209" s="71">
        <f t="shared" si="109"/>
        <v>0</v>
      </c>
      <c r="AW209" s="70">
        <f t="shared" si="110"/>
        <v>0</v>
      </c>
      <c r="AX209" s="70">
        <f t="shared" si="121"/>
        <v>0</v>
      </c>
      <c r="AY209" s="72">
        <f t="shared" si="111"/>
      </c>
      <c r="AZ209" s="70">
        <f>_xlfn.IFERROR(IF(Simulador!$U$29=1,0,IF($AT209&lt;=0.01,0,$AT209*Simulador!$AA$42)),0)+_xlfn.IFERROR(IF(Simulador!$U$29=1,0,IF($AT209&lt;=0.01,0,IF(Simulador!$D$22&gt;0,Simulador!$D$22,Simulador!$O$24)*Simulador!$AA$43)),0)</f>
        <v>0</v>
      </c>
      <c r="BA209" s="73"/>
      <c r="BB209" s="70">
        <f t="shared" si="112"/>
        <v>0</v>
      </c>
      <c r="BC209">
        <f t="shared" si="122"/>
        <v>0</v>
      </c>
      <c r="BD209" s="431">
        <f t="shared" si="123"/>
      </c>
      <c r="BE209" s="432">
        <f t="shared" si="124"/>
        <v>0</v>
      </c>
      <c r="BF209" s="69">
        <v>195</v>
      </c>
      <c r="BG209" s="38"/>
      <c r="BJ209" s="69"/>
      <c r="BM209" s="432"/>
    </row>
    <row r="210" spans="1:65" ht="12">
      <c r="A210" s="531">
        <v>196</v>
      </c>
      <c r="B210" s="106">
        <f t="shared" si="125"/>
        <v>0</v>
      </c>
      <c r="C210" s="106"/>
      <c r="D210" s="107">
        <f>IF(B210+F210-D209&lt;=0,B210+F210,IF(AND(OR(Simulador!$U$38=2,Simulador!$U$38=7),J209=0),D209*(1+AA210),IF($AE$3=2,B210*AQ210,D209*(1+AA210))))</f>
        <v>0</v>
      </c>
      <c r="E210" s="107"/>
      <c r="F210" s="107">
        <f t="shared" si="106"/>
        <v>0</v>
      </c>
      <c r="G210" s="107"/>
      <c r="H210" s="107">
        <f t="shared" si="126"/>
        <v>0</v>
      </c>
      <c r="I210" s="108"/>
      <c r="J210" s="109"/>
      <c r="K210" s="108"/>
      <c r="L210" s="107">
        <f>IF(Simulador!$T$40=1,0,J210*Simulador!$W$38*1.16)</f>
        <v>0</v>
      </c>
      <c r="M210" s="107"/>
      <c r="N210" s="110">
        <f>IF(B210-H210=0,0,N208)</f>
        <v>0</v>
      </c>
      <c r="O210" s="13"/>
      <c r="P210" s="664">
        <f t="shared" si="107"/>
      </c>
      <c r="Q210" s="3"/>
      <c r="R210" s="107">
        <f t="shared" si="113"/>
        <v>0</v>
      </c>
      <c r="S210" s="107"/>
      <c r="T210" s="107">
        <f>_xlfn.IFERROR(IF(Simulador!$U$29=1,0,IF($B210&lt;=0,0,$B210*Simulador!$AA$42)),0)</f>
        <v>0</v>
      </c>
      <c r="U210" s="107"/>
      <c r="V210" s="107">
        <f>_xlfn.IFERROR(IF(Simulador!$U$29=1,0,IF($B210&lt;=0,0,IF(Simulador!$D$22&gt;0,Simulador!$D$22,Simulador!$O$24)*Simulador!$AA$43)),0)</f>
        <v>0</v>
      </c>
      <c r="W210" s="107"/>
      <c r="X210" s="107"/>
      <c r="Y210" s="107">
        <f t="shared" si="108"/>
        <v>0</v>
      </c>
      <c r="Z210" s="14"/>
      <c r="AA210" s="19"/>
      <c r="AB210" s="24"/>
      <c r="AC210" s="303">
        <v>16</v>
      </c>
      <c r="AD210" s="295">
        <v>4</v>
      </c>
      <c r="AE210" s="400">
        <f t="shared" si="114"/>
        <v>0</v>
      </c>
      <c r="AF210" s="279">
        <f t="shared" si="115"/>
        <v>0</v>
      </c>
      <c r="AG210" s="279">
        <f t="shared" si="116"/>
        <v>0</v>
      </c>
      <c r="AH210" s="418">
        <f t="shared" si="117"/>
        <v>0</v>
      </c>
      <c r="AI210" s="296">
        <f>IF(Simulador!$T$67=1,'Tabla de amortizacion'!AJ210,'Tabla de amortizacion'!AR210)</f>
        <v>0.09</v>
      </c>
      <c r="AJ210" s="297">
        <f t="shared" si="127"/>
        <v>0.09</v>
      </c>
      <c r="AK210" s="298">
        <f t="shared" si="118"/>
        <v>0</v>
      </c>
      <c r="AL210" s="298"/>
      <c r="AM210" s="304"/>
      <c r="AN210" s="279"/>
      <c r="AO210" s="520">
        <f t="shared" si="104"/>
        <v>0.092</v>
      </c>
      <c r="AP210" s="299">
        <v>0</v>
      </c>
      <c r="AQ210" s="414">
        <f t="shared" si="119"/>
        <v>0</v>
      </c>
      <c r="AR210" s="300">
        <f>IF(AND(Simulador!$T$67=2,Simulador!$T$61=1),AL210,IF(AND(Simulador!$T$67=2,Simulador!$T$61=2),AM210,IF(AND(Simulador!$T$67=2,Simulador!$T$61=3),AN210,AO210)))</f>
        <v>0.092</v>
      </c>
      <c r="AS210" s="281"/>
      <c r="AT210" s="70">
        <f t="shared" si="100"/>
        <v>0</v>
      </c>
      <c r="AU210" s="70">
        <f t="shared" si="120"/>
        <v>0</v>
      </c>
      <c r="AV210" s="71">
        <f t="shared" si="109"/>
        <v>0</v>
      </c>
      <c r="AW210" s="70">
        <f t="shared" si="110"/>
        <v>0</v>
      </c>
      <c r="AX210" s="70">
        <f t="shared" si="121"/>
        <v>0</v>
      </c>
      <c r="AY210" s="72">
        <f t="shared" si="111"/>
      </c>
      <c r="AZ210" s="70">
        <f>_xlfn.IFERROR(IF(Simulador!$U$29=1,0,IF($AT210&lt;=0.01,0,$AT210*Simulador!$AA$42)),0)+_xlfn.IFERROR(IF(Simulador!$U$29=1,0,IF($AT210&lt;=0.01,0,IF(Simulador!$D$22&gt;0,Simulador!$D$22,Simulador!$O$24)*Simulador!$AA$43)),0)</f>
        <v>0</v>
      </c>
      <c r="BA210" s="73"/>
      <c r="BB210" s="70">
        <f t="shared" si="112"/>
        <v>0</v>
      </c>
      <c r="BC210">
        <f t="shared" si="122"/>
        <v>0</v>
      </c>
      <c r="BD210" s="431">
        <f t="shared" si="123"/>
      </c>
      <c r="BE210" s="432">
        <f t="shared" si="124"/>
        <v>0</v>
      </c>
      <c r="BF210" s="69">
        <v>196</v>
      </c>
      <c r="BG210" s="38"/>
      <c r="BJ210" s="69"/>
      <c r="BM210" s="432"/>
    </row>
    <row r="211" spans="1:65" ht="12">
      <c r="A211" s="531">
        <v>197</v>
      </c>
      <c r="B211" s="106">
        <f t="shared" si="125"/>
        <v>0</v>
      </c>
      <c r="C211" s="106"/>
      <c r="D211" s="107">
        <f>IF(B211+F211-D210&lt;=0,B211+F211,IF(AND(OR(Simulador!$U$38=2,Simulador!$U$38=7),J210=0),D210*(1+AA211),IF($AE$3=2,B211*AQ211,D210*(1+AA211))))</f>
        <v>0</v>
      </c>
      <c r="E211" s="107"/>
      <c r="F211" s="107">
        <f t="shared" si="106"/>
        <v>0</v>
      </c>
      <c r="G211" s="107"/>
      <c r="H211" s="107">
        <f t="shared" si="126"/>
        <v>0</v>
      </c>
      <c r="I211" s="108"/>
      <c r="J211" s="109"/>
      <c r="K211" s="108"/>
      <c r="L211" s="107">
        <f>IF(Simulador!$T$40=1,0,J211*Simulador!$W$38*1.16)</f>
        <v>0</v>
      </c>
      <c r="M211" s="107"/>
      <c r="N211" s="111"/>
      <c r="O211" s="13"/>
      <c r="P211" s="664">
        <f t="shared" si="107"/>
      </c>
      <c r="Q211" s="3"/>
      <c r="R211" s="107">
        <f t="shared" si="113"/>
        <v>0</v>
      </c>
      <c r="S211" s="107"/>
      <c r="T211" s="107">
        <f>_xlfn.IFERROR(IF(Simulador!$U$29=1,0,IF($B211&lt;=0,0,$B211*Simulador!$AA$42)),0)</f>
        <v>0</v>
      </c>
      <c r="U211" s="107"/>
      <c r="V211" s="107">
        <f>_xlfn.IFERROR(IF(Simulador!$U$29=1,0,IF($B211&lt;=0,0,IF(Simulador!$D$22&gt;0,Simulador!$D$22,Simulador!$O$24)*Simulador!$AA$43)),0)</f>
        <v>0</v>
      </c>
      <c r="W211" s="107"/>
      <c r="X211" s="107"/>
      <c r="Y211" s="107">
        <f t="shared" si="108"/>
        <v>0</v>
      </c>
      <c r="Z211" s="14"/>
      <c r="AA211" s="19"/>
      <c r="AB211" s="24"/>
      <c r="AC211" s="303">
        <v>16</v>
      </c>
      <c r="AD211" s="295">
        <v>5</v>
      </c>
      <c r="AE211" s="400">
        <f t="shared" si="114"/>
        <v>0</v>
      </c>
      <c r="AF211" s="279">
        <f t="shared" si="115"/>
        <v>0</v>
      </c>
      <c r="AG211" s="279">
        <f t="shared" si="116"/>
        <v>0</v>
      </c>
      <c r="AH211" s="418">
        <f t="shared" si="117"/>
        <v>0</v>
      </c>
      <c r="AI211" s="296">
        <f>IF(Simulador!$T$67=1,'Tabla de amortizacion'!AJ211,'Tabla de amortizacion'!AR211)</f>
        <v>0.09</v>
      </c>
      <c r="AJ211" s="297">
        <f t="shared" si="127"/>
        <v>0.09</v>
      </c>
      <c r="AK211" s="298">
        <f t="shared" si="118"/>
        <v>0</v>
      </c>
      <c r="AL211" s="298"/>
      <c r="AM211" s="304"/>
      <c r="AN211" s="279"/>
      <c r="AO211" s="520">
        <f t="shared" si="104"/>
        <v>0.092</v>
      </c>
      <c r="AP211" s="299">
        <v>0</v>
      </c>
      <c r="AQ211" s="414">
        <f t="shared" si="119"/>
        <v>0</v>
      </c>
      <c r="AR211" s="300">
        <f>IF(AND(Simulador!$T$67=2,Simulador!$T$61=1),AL211,IF(AND(Simulador!$T$67=2,Simulador!$T$61=2),AM211,IF(AND(Simulador!$T$67=2,Simulador!$T$61=3),AN211,AO211)))</f>
        <v>0.092</v>
      </c>
      <c r="AS211" s="281"/>
      <c r="AT211" s="70">
        <f t="shared" si="100"/>
        <v>0</v>
      </c>
      <c r="AU211" s="70">
        <f t="shared" si="120"/>
        <v>0</v>
      </c>
      <c r="AV211" s="71">
        <f t="shared" si="109"/>
        <v>0</v>
      </c>
      <c r="AW211" s="70">
        <f t="shared" si="110"/>
        <v>0</v>
      </c>
      <c r="AX211" s="70">
        <f t="shared" si="121"/>
        <v>0</v>
      </c>
      <c r="AY211" s="72">
        <f t="shared" si="111"/>
      </c>
      <c r="AZ211" s="70">
        <f>_xlfn.IFERROR(IF(Simulador!$U$29=1,0,IF($AT211&lt;=0.01,0,$AT211*Simulador!$AA$42)),0)+_xlfn.IFERROR(IF(Simulador!$U$29=1,0,IF($AT211&lt;=0.01,0,IF(Simulador!$D$22&gt;0,Simulador!$D$22,Simulador!$O$24)*Simulador!$AA$43)),0)</f>
        <v>0</v>
      </c>
      <c r="BA211" s="73"/>
      <c r="BB211" s="70">
        <f t="shared" si="112"/>
        <v>0</v>
      </c>
      <c r="BC211">
        <f t="shared" si="122"/>
        <v>0</v>
      </c>
      <c r="BD211" s="431">
        <f t="shared" si="123"/>
      </c>
      <c r="BE211" s="432">
        <f t="shared" si="124"/>
        <v>0</v>
      </c>
      <c r="BF211" s="69">
        <v>197</v>
      </c>
      <c r="BG211" s="38"/>
      <c r="BJ211" s="69"/>
      <c r="BM211" s="432"/>
    </row>
    <row r="212" spans="1:65" ht="12">
      <c r="A212" s="531">
        <v>198</v>
      </c>
      <c r="B212" s="106">
        <f t="shared" si="125"/>
        <v>0</v>
      </c>
      <c r="C212" s="106"/>
      <c r="D212" s="107">
        <f>IF(B212+F212-D211&lt;=0,B212+F212,IF(AND(OR(Simulador!$U$38=2,Simulador!$U$38=7),J211=0),D211*(1+AA212),IF($AE$3=2,B212*AQ212,D211*(1+AA212))))</f>
        <v>0</v>
      </c>
      <c r="E212" s="107"/>
      <c r="F212" s="107">
        <f t="shared" si="106"/>
        <v>0</v>
      </c>
      <c r="G212" s="107"/>
      <c r="H212" s="107">
        <f t="shared" si="126"/>
        <v>0</v>
      </c>
      <c r="I212" s="108"/>
      <c r="J212" s="109"/>
      <c r="K212" s="108"/>
      <c r="L212" s="107">
        <f>IF(Simulador!$T$40=1,0,J212*Simulador!$W$38*1.16)</f>
        <v>0</v>
      </c>
      <c r="M212" s="107"/>
      <c r="N212" s="110">
        <f>IF(B212-H212=0,0,N210)</f>
        <v>0</v>
      </c>
      <c r="O212" s="13"/>
      <c r="P212" s="664">
        <f t="shared" si="107"/>
      </c>
      <c r="Q212" s="3"/>
      <c r="R212" s="107">
        <f t="shared" si="113"/>
        <v>0</v>
      </c>
      <c r="S212" s="107"/>
      <c r="T212" s="107">
        <f>_xlfn.IFERROR(IF(Simulador!$U$29=1,0,IF($B212&lt;=0,0,$B212*Simulador!$AA$42)),0)</f>
        <v>0</v>
      </c>
      <c r="U212" s="107"/>
      <c r="V212" s="107">
        <f>_xlfn.IFERROR(IF(Simulador!$U$29=1,0,IF($B212&lt;=0,0,IF(Simulador!$D$22&gt;0,Simulador!$D$22,Simulador!$O$24)*Simulador!$AA$43)),0)</f>
        <v>0</v>
      </c>
      <c r="W212" s="107"/>
      <c r="X212" s="107"/>
      <c r="Y212" s="107">
        <f t="shared" si="108"/>
        <v>0</v>
      </c>
      <c r="Z212" s="14"/>
      <c r="AA212" s="19"/>
      <c r="AB212" s="24"/>
      <c r="AC212" s="303">
        <v>16</v>
      </c>
      <c r="AD212" s="295">
        <v>6</v>
      </c>
      <c r="AE212" s="400">
        <f t="shared" si="114"/>
        <v>0</v>
      </c>
      <c r="AF212" s="279">
        <f t="shared" si="115"/>
        <v>0</v>
      </c>
      <c r="AG212" s="279">
        <f t="shared" si="116"/>
        <v>0</v>
      </c>
      <c r="AH212" s="418">
        <f t="shared" si="117"/>
        <v>0</v>
      </c>
      <c r="AI212" s="296">
        <f>IF(Simulador!$T$67=1,'Tabla de amortizacion'!AJ212,'Tabla de amortizacion'!AR212)</f>
        <v>0.09</v>
      </c>
      <c r="AJ212" s="297">
        <f t="shared" si="127"/>
        <v>0.09</v>
      </c>
      <c r="AK212" s="298">
        <f t="shared" si="118"/>
        <v>0</v>
      </c>
      <c r="AL212" s="298"/>
      <c r="AM212" s="304"/>
      <c r="AN212" s="279"/>
      <c r="AO212" s="520">
        <f t="shared" si="104"/>
        <v>0.092</v>
      </c>
      <c r="AP212" s="299">
        <v>0</v>
      </c>
      <c r="AQ212" s="414">
        <f t="shared" si="119"/>
        <v>0</v>
      </c>
      <c r="AR212" s="300">
        <f>IF(AND(Simulador!$T$67=2,Simulador!$T$61=1),AL212,IF(AND(Simulador!$T$67=2,Simulador!$T$61=2),AM212,IF(AND(Simulador!$T$67=2,Simulador!$T$61=3),AN212,AO212)))</f>
        <v>0.092</v>
      </c>
      <c r="AS212" s="281"/>
      <c r="AT212" s="70">
        <f t="shared" si="100"/>
        <v>0</v>
      </c>
      <c r="AU212" s="70">
        <f t="shared" si="120"/>
        <v>0</v>
      </c>
      <c r="AV212" s="71">
        <f t="shared" si="109"/>
        <v>0</v>
      </c>
      <c r="AW212" s="70">
        <f t="shared" si="110"/>
        <v>0</v>
      </c>
      <c r="AX212" s="70">
        <f t="shared" si="121"/>
        <v>0</v>
      </c>
      <c r="AY212" s="72">
        <f t="shared" si="111"/>
      </c>
      <c r="AZ212" s="70">
        <f>_xlfn.IFERROR(IF(Simulador!$U$29=1,0,IF($AT212&lt;=0.01,0,$AT212*Simulador!$AA$42)),0)+_xlfn.IFERROR(IF(Simulador!$U$29=1,0,IF($AT212&lt;=0.01,0,IF(Simulador!$D$22&gt;0,Simulador!$D$22,Simulador!$O$24)*Simulador!$AA$43)),0)</f>
        <v>0</v>
      </c>
      <c r="BA212" s="73"/>
      <c r="BB212" s="70">
        <f t="shared" si="112"/>
        <v>0</v>
      </c>
      <c r="BC212">
        <f t="shared" si="122"/>
        <v>0</v>
      </c>
      <c r="BD212" s="431">
        <f t="shared" si="123"/>
      </c>
      <c r="BE212" s="432">
        <f t="shared" si="124"/>
        <v>0</v>
      </c>
      <c r="BF212" s="69">
        <v>198</v>
      </c>
      <c r="BG212" s="38"/>
      <c r="BJ212" s="69"/>
      <c r="BM212" s="432"/>
    </row>
    <row r="213" spans="1:65" ht="12">
      <c r="A213" s="531">
        <v>199</v>
      </c>
      <c r="B213" s="106">
        <f t="shared" si="125"/>
        <v>0</v>
      </c>
      <c r="C213" s="106"/>
      <c r="D213" s="107">
        <f>IF(B213+F213-D212&lt;=0,B213+F213,IF(AND(OR(Simulador!$U$38=2,Simulador!$U$38=7),J212=0),D212*(1+AA213),IF($AE$3=2,B213*AQ213,D212*(1+AA213))))</f>
        <v>0</v>
      </c>
      <c r="E213" s="107"/>
      <c r="F213" s="107">
        <f t="shared" si="106"/>
        <v>0</v>
      </c>
      <c r="G213" s="107"/>
      <c r="H213" s="107">
        <f t="shared" si="126"/>
        <v>0</v>
      </c>
      <c r="I213" s="108"/>
      <c r="J213" s="109"/>
      <c r="K213" s="108"/>
      <c r="L213" s="107">
        <f>IF(Simulador!$T$40=1,0,J213*Simulador!$W$38*1.16)</f>
        <v>0</v>
      </c>
      <c r="M213" s="107"/>
      <c r="N213" s="111"/>
      <c r="O213" s="13"/>
      <c r="P213" s="664">
        <f t="shared" si="107"/>
      </c>
      <c r="Q213" s="3"/>
      <c r="R213" s="107">
        <f t="shared" si="113"/>
        <v>0</v>
      </c>
      <c r="S213" s="107"/>
      <c r="T213" s="107">
        <f>_xlfn.IFERROR(IF(Simulador!$U$29=1,0,IF($B213&lt;=0,0,$B213*Simulador!$AA$42)),0)</f>
        <v>0</v>
      </c>
      <c r="U213" s="107"/>
      <c r="V213" s="107">
        <f>_xlfn.IFERROR(IF(Simulador!$U$29=1,0,IF($B213&lt;=0,0,IF(Simulador!$D$22&gt;0,Simulador!$D$22,Simulador!$O$24)*Simulador!$AA$43)),0)</f>
        <v>0</v>
      </c>
      <c r="W213" s="107"/>
      <c r="X213" s="107"/>
      <c r="Y213" s="107">
        <f t="shared" si="108"/>
        <v>0</v>
      </c>
      <c r="Z213" s="14"/>
      <c r="AA213" s="19"/>
      <c r="AB213" s="24"/>
      <c r="AC213" s="303">
        <v>16</v>
      </c>
      <c r="AD213" s="295">
        <v>7</v>
      </c>
      <c r="AE213" s="400">
        <f t="shared" si="114"/>
        <v>0</v>
      </c>
      <c r="AF213" s="279">
        <f t="shared" si="115"/>
        <v>0</v>
      </c>
      <c r="AG213" s="279">
        <f t="shared" si="116"/>
        <v>0</v>
      </c>
      <c r="AH213" s="418">
        <f t="shared" si="117"/>
        <v>0</v>
      </c>
      <c r="AI213" s="296">
        <f>IF(Simulador!$T$67=1,'Tabla de amortizacion'!AJ213,'Tabla de amortizacion'!AR213)</f>
        <v>0.09</v>
      </c>
      <c r="AJ213" s="297">
        <f t="shared" si="127"/>
        <v>0.09</v>
      </c>
      <c r="AK213" s="298">
        <f t="shared" si="118"/>
        <v>0</v>
      </c>
      <c r="AL213" s="298"/>
      <c r="AM213" s="304"/>
      <c r="AN213" s="279"/>
      <c r="AO213" s="520">
        <f t="shared" si="104"/>
        <v>0.092</v>
      </c>
      <c r="AP213" s="299">
        <v>0</v>
      </c>
      <c r="AQ213" s="414">
        <f t="shared" si="119"/>
        <v>0</v>
      </c>
      <c r="AR213" s="300">
        <f>IF(AND(Simulador!$T$67=2,Simulador!$T$61=1),AL213,IF(AND(Simulador!$T$67=2,Simulador!$T$61=2),AM213,IF(AND(Simulador!$T$67=2,Simulador!$T$61=3),AN213,AO213)))</f>
        <v>0.092</v>
      </c>
      <c r="AS213" s="281"/>
      <c r="AT213" s="70">
        <f t="shared" si="100"/>
        <v>0</v>
      </c>
      <c r="AU213" s="70">
        <f t="shared" si="120"/>
        <v>0</v>
      </c>
      <c r="AV213" s="71">
        <f t="shared" si="109"/>
        <v>0</v>
      </c>
      <c r="AW213" s="70">
        <f t="shared" si="110"/>
        <v>0</v>
      </c>
      <c r="AX213" s="70">
        <f t="shared" si="121"/>
        <v>0</v>
      </c>
      <c r="AY213" s="72">
        <f t="shared" si="111"/>
      </c>
      <c r="AZ213" s="70">
        <f>_xlfn.IFERROR(IF(Simulador!$U$29=1,0,IF($AT213&lt;=0.01,0,$AT213*Simulador!$AA$42)),0)+_xlfn.IFERROR(IF(Simulador!$U$29=1,0,IF($AT213&lt;=0.01,0,IF(Simulador!$D$22&gt;0,Simulador!$D$22,Simulador!$O$24)*Simulador!$AA$43)),0)</f>
        <v>0</v>
      </c>
      <c r="BA213" s="73"/>
      <c r="BB213" s="70">
        <f t="shared" si="112"/>
        <v>0</v>
      </c>
      <c r="BC213">
        <f t="shared" si="122"/>
        <v>0</v>
      </c>
      <c r="BD213" s="431">
        <f t="shared" si="123"/>
      </c>
      <c r="BE213" s="432">
        <f t="shared" si="124"/>
        <v>0</v>
      </c>
      <c r="BF213" s="69">
        <v>199</v>
      </c>
      <c r="BG213" s="38"/>
      <c r="BJ213" s="69"/>
      <c r="BM213" s="432"/>
    </row>
    <row r="214" spans="1:65" ht="12">
      <c r="A214" s="531">
        <v>200</v>
      </c>
      <c r="B214" s="106">
        <f t="shared" si="125"/>
        <v>0</v>
      </c>
      <c r="C214" s="106"/>
      <c r="D214" s="107">
        <f>IF(B214+F214-D213&lt;=0,B214+F214,IF(AND(OR(Simulador!$U$38=2,Simulador!$U$38=7),J213=0),D213*(1+AA214),IF($AE$3=2,B214*AQ214,D213*(1+AA214))))</f>
        <v>0</v>
      </c>
      <c r="E214" s="107"/>
      <c r="F214" s="107">
        <f t="shared" si="106"/>
        <v>0</v>
      </c>
      <c r="G214" s="107"/>
      <c r="H214" s="107">
        <f t="shared" si="126"/>
        <v>0</v>
      </c>
      <c r="I214" s="108"/>
      <c r="J214" s="109"/>
      <c r="K214" s="108"/>
      <c r="L214" s="107">
        <f>IF(Simulador!$T$40=1,0,J214*Simulador!$W$38*1.16)</f>
        <v>0</v>
      </c>
      <c r="M214" s="107"/>
      <c r="N214" s="110">
        <f>IF(B214-H214=0,0,N212)</f>
        <v>0</v>
      </c>
      <c r="O214" s="13"/>
      <c r="P214" s="664">
        <f t="shared" si="107"/>
      </c>
      <c r="Q214" s="3"/>
      <c r="R214" s="107">
        <f t="shared" si="113"/>
        <v>0</v>
      </c>
      <c r="S214" s="107"/>
      <c r="T214" s="107">
        <f>_xlfn.IFERROR(IF(Simulador!$U$29=1,0,IF($B214&lt;=0,0,$B214*Simulador!$AA$42)),0)</f>
        <v>0</v>
      </c>
      <c r="U214" s="107"/>
      <c r="V214" s="107">
        <f>_xlfn.IFERROR(IF(Simulador!$U$29=1,0,IF($B214&lt;=0,0,IF(Simulador!$D$22&gt;0,Simulador!$D$22,Simulador!$O$24)*Simulador!$AA$43)),0)</f>
        <v>0</v>
      </c>
      <c r="W214" s="107"/>
      <c r="X214" s="107"/>
      <c r="Y214" s="107">
        <f t="shared" si="108"/>
        <v>0</v>
      </c>
      <c r="Z214" s="14"/>
      <c r="AA214" s="19"/>
      <c r="AB214" s="24"/>
      <c r="AC214" s="303">
        <v>16</v>
      </c>
      <c r="AD214" s="295">
        <v>8</v>
      </c>
      <c r="AE214" s="400">
        <f t="shared" si="114"/>
        <v>0</v>
      </c>
      <c r="AF214" s="279">
        <f t="shared" si="115"/>
        <v>0</v>
      </c>
      <c r="AG214" s="279">
        <f t="shared" si="116"/>
        <v>0</v>
      </c>
      <c r="AH214" s="418">
        <f t="shared" si="117"/>
        <v>0</v>
      </c>
      <c r="AI214" s="296">
        <f>IF(Simulador!$T$67=1,'Tabla de amortizacion'!AJ214,'Tabla de amortizacion'!AR214)</f>
        <v>0.09</v>
      </c>
      <c r="AJ214" s="297">
        <f t="shared" si="127"/>
        <v>0.09</v>
      </c>
      <c r="AK214" s="298">
        <f t="shared" si="118"/>
        <v>0</v>
      </c>
      <c r="AL214" s="298"/>
      <c r="AM214" s="304"/>
      <c r="AN214" s="279"/>
      <c r="AO214" s="520">
        <f t="shared" si="104"/>
        <v>0.092</v>
      </c>
      <c r="AP214" s="299">
        <v>0</v>
      </c>
      <c r="AQ214" s="414">
        <f t="shared" si="119"/>
        <v>0</v>
      </c>
      <c r="AR214" s="300">
        <f>IF(AND(Simulador!$T$67=2,Simulador!$T$61=1),AL214,IF(AND(Simulador!$T$67=2,Simulador!$T$61=2),AM214,IF(AND(Simulador!$T$67=2,Simulador!$T$61=3),AN214,AO214)))</f>
        <v>0.092</v>
      </c>
      <c r="AS214" s="281"/>
      <c r="AT214" s="70">
        <f t="shared" si="100"/>
        <v>0</v>
      </c>
      <c r="AU214" s="70">
        <f t="shared" si="120"/>
        <v>0</v>
      </c>
      <c r="AV214" s="71">
        <f t="shared" si="109"/>
        <v>0</v>
      </c>
      <c r="AW214" s="70">
        <f t="shared" si="110"/>
        <v>0</v>
      </c>
      <c r="AX214" s="70">
        <f t="shared" si="121"/>
        <v>0</v>
      </c>
      <c r="AY214" s="72">
        <f t="shared" si="111"/>
      </c>
      <c r="AZ214" s="70">
        <f>_xlfn.IFERROR(IF(Simulador!$U$29=1,0,IF($AT214&lt;=0.01,0,$AT214*Simulador!$AA$42)),0)+_xlfn.IFERROR(IF(Simulador!$U$29=1,0,IF($AT214&lt;=0.01,0,IF(Simulador!$D$22&gt;0,Simulador!$D$22,Simulador!$O$24)*Simulador!$AA$43)),0)</f>
        <v>0</v>
      </c>
      <c r="BA214" s="73"/>
      <c r="BB214" s="70">
        <f t="shared" si="112"/>
        <v>0</v>
      </c>
      <c r="BC214">
        <f t="shared" si="122"/>
        <v>0</v>
      </c>
      <c r="BD214" s="431">
        <f t="shared" si="123"/>
      </c>
      <c r="BE214" s="432">
        <f t="shared" si="124"/>
        <v>0</v>
      </c>
      <c r="BF214" s="69">
        <v>200</v>
      </c>
      <c r="BG214" s="38"/>
      <c r="BJ214" s="69"/>
      <c r="BM214" s="432"/>
    </row>
    <row r="215" spans="1:65" ht="12">
      <c r="A215" s="531">
        <v>201</v>
      </c>
      <c r="B215" s="106">
        <f t="shared" si="125"/>
        <v>0</v>
      </c>
      <c r="C215" s="106"/>
      <c r="D215" s="107">
        <f>IF(B215+F215-D214&lt;=0,B215+F215,IF(AND(OR(Simulador!$U$38=2,Simulador!$U$38=7),J214=0),D214*(1+AA215),IF($AE$3=2,B215*AQ215,D214*(1+AA215))))</f>
        <v>0</v>
      </c>
      <c r="E215" s="107"/>
      <c r="F215" s="107">
        <f t="shared" si="106"/>
        <v>0</v>
      </c>
      <c r="G215" s="107"/>
      <c r="H215" s="107">
        <f t="shared" si="126"/>
        <v>0</v>
      </c>
      <c r="I215" s="108"/>
      <c r="J215" s="109"/>
      <c r="K215" s="108"/>
      <c r="L215" s="107">
        <f>IF(Simulador!$T$40=1,0,J215*Simulador!$W$38*1.16)</f>
        <v>0</v>
      </c>
      <c r="M215" s="107"/>
      <c r="N215" s="111"/>
      <c r="O215" s="13"/>
      <c r="P215" s="664">
        <f t="shared" si="107"/>
      </c>
      <c r="Q215" s="3"/>
      <c r="R215" s="107">
        <f t="shared" si="113"/>
        <v>0</v>
      </c>
      <c r="S215" s="107"/>
      <c r="T215" s="107">
        <f>_xlfn.IFERROR(IF(Simulador!$U$29=1,0,IF($B215&lt;=0,0,$B215*Simulador!$AA$42)),0)</f>
        <v>0</v>
      </c>
      <c r="U215" s="107"/>
      <c r="V215" s="107">
        <f>_xlfn.IFERROR(IF(Simulador!$U$29=1,0,IF($B215&lt;=0,0,IF(Simulador!$D$22&gt;0,Simulador!$D$22,Simulador!$O$24)*Simulador!$AA$43)),0)</f>
        <v>0</v>
      </c>
      <c r="W215" s="107"/>
      <c r="X215" s="107"/>
      <c r="Y215" s="107">
        <f t="shared" si="108"/>
        <v>0</v>
      </c>
      <c r="Z215" s="14"/>
      <c r="AA215" s="19"/>
      <c r="AB215" s="24"/>
      <c r="AC215" s="303">
        <v>16</v>
      </c>
      <c r="AD215" s="302">
        <v>9</v>
      </c>
      <c r="AE215" s="400">
        <f t="shared" si="114"/>
        <v>0</v>
      </c>
      <c r="AF215" s="279">
        <f t="shared" si="115"/>
        <v>0</v>
      </c>
      <c r="AG215" s="279">
        <f t="shared" si="116"/>
        <v>0</v>
      </c>
      <c r="AH215" s="418">
        <f t="shared" si="117"/>
        <v>0</v>
      </c>
      <c r="AI215" s="296">
        <f>IF(Simulador!$T$67=1,'Tabla de amortizacion'!AJ215,'Tabla de amortizacion'!AR215)</f>
        <v>0.09</v>
      </c>
      <c r="AJ215" s="297">
        <f t="shared" si="127"/>
        <v>0.09</v>
      </c>
      <c r="AK215" s="298">
        <f t="shared" si="118"/>
        <v>0</v>
      </c>
      <c r="AL215" s="298"/>
      <c r="AM215" s="304"/>
      <c r="AN215" s="279"/>
      <c r="AO215" s="520">
        <f t="shared" si="104"/>
        <v>0.092</v>
      </c>
      <c r="AP215" s="299">
        <v>0</v>
      </c>
      <c r="AQ215" s="414">
        <f t="shared" si="119"/>
        <v>0</v>
      </c>
      <c r="AR215" s="300">
        <f>IF(AND(Simulador!$T$67=2,Simulador!$T$61=1),AL215,IF(AND(Simulador!$T$67=2,Simulador!$T$61=2),AM215,IF(AND(Simulador!$T$67=2,Simulador!$T$61=3),AN215,AO215)))</f>
        <v>0.092</v>
      </c>
      <c r="AS215" s="281"/>
      <c r="AT215" s="70">
        <f t="shared" si="100"/>
        <v>0</v>
      </c>
      <c r="AU215" s="70">
        <f t="shared" si="120"/>
        <v>0</v>
      </c>
      <c r="AV215" s="71">
        <f t="shared" si="109"/>
        <v>0</v>
      </c>
      <c r="AW215" s="70">
        <f t="shared" si="110"/>
        <v>0</v>
      </c>
      <c r="AX215" s="70">
        <f t="shared" si="121"/>
        <v>0</v>
      </c>
      <c r="AY215" s="72">
        <f t="shared" si="111"/>
      </c>
      <c r="AZ215" s="70">
        <f>_xlfn.IFERROR(IF(Simulador!$U$29=1,0,IF($AT215&lt;=0.01,0,$AT215*Simulador!$AA$42)),0)+_xlfn.IFERROR(IF(Simulador!$U$29=1,0,IF($AT215&lt;=0.01,0,IF(Simulador!$D$22&gt;0,Simulador!$D$22,Simulador!$O$24)*Simulador!$AA$43)),0)</f>
        <v>0</v>
      </c>
      <c r="BA215" s="73"/>
      <c r="BB215" s="70">
        <f t="shared" si="112"/>
        <v>0</v>
      </c>
      <c r="BC215">
        <f t="shared" si="122"/>
        <v>0</v>
      </c>
      <c r="BD215" s="431">
        <f t="shared" si="123"/>
      </c>
      <c r="BE215" s="432">
        <f t="shared" si="124"/>
        <v>0</v>
      </c>
      <c r="BF215" s="69">
        <v>201</v>
      </c>
      <c r="BG215" s="38"/>
      <c r="BJ215" s="69"/>
      <c r="BM215" s="432"/>
    </row>
    <row r="216" spans="1:65" ht="12">
      <c r="A216" s="531">
        <v>202</v>
      </c>
      <c r="B216" s="106">
        <f t="shared" si="125"/>
        <v>0</v>
      </c>
      <c r="C216" s="106"/>
      <c r="D216" s="107">
        <f>IF(B216+F216-D215&lt;=0,B216+F216,IF(AND(OR(Simulador!$U$38=2,Simulador!$U$38=7),J215=0),D215*(1+AA216),IF($AE$3=2,B216*AQ216,D215*(1+AA216))))</f>
        <v>0</v>
      </c>
      <c r="E216" s="107"/>
      <c r="F216" s="107">
        <f t="shared" si="106"/>
        <v>0</v>
      </c>
      <c r="G216" s="107"/>
      <c r="H216" s="107">
        <f t="shared" si="126"/>
        <v>0</v>
      </c>
      <c r="I216" s="108"/>
      <c r="J216" s="109"/>
      <c r="K216" s="108"/>
      <c r="L216" s="107">
        <f>IF(Simulador!$T$40=1,0,J216*Simulador!$W$38*1.16)</f>
        <v>0</v>
      </c>
      <c r="M216" s="107"/>
      <c r="N216" s="110">
        <f>IF(B216-H216=0,0,N214)</f>
        <v>0</v>
      </c>
      <c r="O216" s="13"/>
      <c r="P216" s="664">
        <f t="shared" si="107"/>
      </c>
      <c r="Q216" s="3"/>
      <c r="R216" s="107">
        <f t="shared" si="113"/>
        <v>0</v>
      </c>
      <c r="S216" s="107"/>
      <c r="T216" s="107">
        <f>_xlfn.IFERROR(IF(Simulador!$U$29=1,0,IF($B216&lt;=0,0,$B216*Simulador!$AA$42)),0)</f>
        <v>0</v>
      </c>
      <c r="U216" s="107"/>
      <c r="V216" s="107">
        <f>_xlfn.IFERROR(IF(Simulador!$U$29=1,0,IF($B216&lt;=0,0,IF(Simulador!$D$22&gt;0,Simulador!$D$22,Simulador!$O$24)*Simulador!$AA$43)),0)</f>
        <v>0</v>
      </c>
      <c r="W216" s="107"/>
      <c r="X216" s="107"/>
      <c r="Y216" s="107">
        <f t="shared" si="108"/>
        <v>0</v>
      </c>
      <c r="Z216" s="14"/>
      <c r="AA216" s="19"/>
      <c r="AB216" s="24"/>
      <c r="AC216" s="303">
        <v>16</v>
      </c>
      <c r="AD216" s="302">
        <v>10</v>
      </c>
      <c r="AE216" s="400">
        <f t="shared" si="114"/>
        <v>0</v>
      </c>
      <c r="AF216" s="279">
        <f t="shared" si="115"/>
        <v>0</v>
      </c>
      <c r="AG216" s="279">
        <f t="shared" si="116"/>
        <v>0</v>
      </c>
      <c r="AH216" s="418">
        <f t="shared" si="117"/>
        <v>0</v>
      </c>
      <c r="AI216" s="296">
        <f>IF(Simulador!$T$67=1,'Tabla de amortizacion'!AJ216,'Tabla de amortizacion'!AR216)</f>
        <v>0.09</v>
      </c>
      <c r="AJ216" s="297">
        <f t="shared" si="127"/>
        <v>0.09</v>
      </c>
      <c r="AK216" s="298">
        <f t="shared" si="118"/>
        <v>0</v>
      </c>
      <c r="AL216" s="298"/>
      <c r="AM216" s="304"/>
      <c r="AN216" s="279"/>
      <c r="AO216" s="520">
        <f t="shared" si="104"/>
        <v>0.092</v>
      </c>
      <c r="AP216" s="299">
        <v>0</v>
      </c>
      <c r="AQ216" s="414">
        <f t="shared" si="119"/>
        <v>0</v>
      </c>
      <c r="AR216" s="300">
        <f>IF(AND(Simulador!$T$67=2,Simulador!$T$61=1),AL216,IF(AND(Simulador!$T$67=2,Simulador!$T$61=2),AM216,IF(AND(Simulador!$T$67=2,Simulador!$T$61=3),AN216,AO216)))</f>
        <v>0.092</v>
      </c>
      <c r="AS216" s="281"/>
      <c r="AT216" s="70">
        <f t="shared" si="100"/>
        <v>0</v>
      </c>
      <c r="AU216" s="70">
        <f t="shared" si="120"/>
        <v>0</v>
      </c>
      <c r="AV216" s="71">
        <f t="shared" si="109"/>
        <v>0</v>
      </c>
      <c r="AW216" s="70">
        <f t="shared" si="110"/>
        <v>0</v>
      </c>
      <c r="AX216" s="70">
        <f t="shared" si="121"/>
        <v>0</v>
      </c>
      <c r="AY216" s="72">
        <f t="shared" si="111"/>
      </c>
      <c r="AZ216" s="70">
        <f>_xlfn.IFERROR(IF(Simulador!$U$29=1,0,IF($AT216&lt;=0.01,0,$AT216*Simulador!$AA$42)),0)+_xlfn.IFERROR(IF(Simulador!$U$29=1,0,IF($AT216&lt;=0.01,0,IF(Simulador!$D$22&gt;0,Simulador!$D$22,Simulador!$O$24)*Simulador!$AA$43)),0)</f>
        <v>0</v>
      </c>
      <c r="BA216" s="73"/>
      <c r="BB216" s="70">
        <f t="shared" si="112"/>
        <v>0</v>
      </c>
      <c r="BC216">
        <f t="shared" si="122"/>
        <v>0</v>
      </c>
      <c r="BD216" s="431">
        <f t="shared" si="123"/>
      </c>
      <c r="BE216" s="432">
        <f t="shared" si="124"/>
        <v>0</v>
      </c>
      <c r="BF216" s="69">
        <v>202</v>
      </c>
      <c r="BG216" s="38"/>
      <c r="BJ216" s="69"/>
      <c r="BM216" s="432"/>
    </row>
    <row r="217" spans="1:65" ht="12">
      <c r="A217" s="531">
        <v>203</v>
      </c>
      <c r="B217" s="106">
        <f t="shared" si="125"/>
        <v>0</v>
      </c>
      <c r="C217" s="106"/>
      <c r="D217" s="107">
        <f>IF(B217+F217-D216&lt;=0,B217+F217,IF(AND(OR(Simulador!$U$38=2,Simulador!$U$38=7),J216=0),D216*(1+AA217),IF($AE$3=2,B217*AQ217,D216*(1+AA217))))</f>
        <v>0</v>
      </c>
      <c r="E217" s="107"/>
      <c r="F217" s="107">
        <f t="shared" si="106"/>
        <v>0</v>
      </c>
      <c r="G217" s="107"/>
      <c r="H217" s="107">
        <f t="shared" si="126"/>
        <v>0</v>
      </c>
      <c r="I217" s="108"/>
      <c r="J217" s="109"/>
      <c r="K217" s="108"/>
      <c r="L217" s="107">
        <f>IF(Simulador!$T$40=1,0,J217*Simulador!$W$38*1.16)</f>
        <v>0</v>
      </c>
      <c r="M217" s="107"/>
      <c r="N217" s="111"/>
      <c r="O217" s="13"/>
      <c r="P217" s="664">
        <f t="shared" si="107"/>
      </c>
      <c r="Q217" s="3"/>
      <c r="R217" s="107">
        <f t="shared" si="113"/>
        <v>0</v>
      </c>
      <c r="S217" s="107"/>
      <c r="T217" s="107">
        <f>_xlfn.IFERROR(IF(Simulador!$U$29=1,0,IF($B217&lt;=0,0,$B217*Simulador!$AA$42)),0)</f>
        <v>0</v>
      </c>
      <c r="U217" s="107"/>
      <c r="V217" s="107">
        <f>_xlfn.IFERROR(IF(Simulador!$U$29=1,0,IF($B217&lt;=0,0,IF(Simulador!$D$22&gt;0,Simulador!$D$22,Simulador!$O$24)*Simulador!$AA$43)),0)</f>
        <v>0</v>
      </c>
      <c r="W217" s="107"/>
      <c r="X217" s="107"/>
      <c r="Y217" s="107">
        <f t="shared" si="108"/>
        <v>0</v>
      </c>
      <c r="Z217" s="14"/>
      <c r="AA217" s="19"/>
      <c r="AB217" s="24"/>
      <c r="AC217" s="303">
        <v>16</v>
      </c>
      <c r="AD217" s="295">
        <v>11</v>
      </c>
      <c r="AE217" s="400">
        <f t="shared" si="114"/>
        <v>0</v>
      </c>
      <c r="AF217" s="279">
        <f t="shared" si="115"/>
        <v>0</v>
      </c>
      <c r="AG217" s="279">
        <f t="shared" si="116"/>
        <v>0</v>
      </c>
      <c r="AH217" s="418">
        <f t="shared" si="117"/>
        <v>0</v>
      </c>
      <c r="AI217" s="296">
        <f>IF(Simulador!$T$67=1,'Tabla de amortizacion'!AJ217,'Tabla de amortizacion'!AR217)</f>
        <v>0.09</v>
      </c>
      <c r="AJ217" s="297">
        <f t="shared" si="127"/>
        <v>0.09</v>
      </c>
      <c r="AK217" s="298">
        <f t="shared" si="118"/>
        <v>0</v>
      </c>
      <c r="AL217" s="298"/>
      <c r="AM217" s="304"/>
      <c r="AN217" s="279"/>
      <c r="AO217" s="520">
        <f t="shared" si="104"/>
        <v>0.092</v>
      </c>
      <c r="AP217" s="299">
        <v>0</v>
      </c>
      <c r="AQ217" s="414">
        <f t="shared" si="119"/>
        <v>0</v>
      </c>
      <c r="AR217" s="300">
        <f>IF(AND(Simulador!$T$67=2,Simulador!$T$61=1),AL217,IF(AND(Simulador!$T$67=2,Simulador!$T$61=2),AM217,IF(AND(Simulador!$T$67=2,Simulador!$T$61=3),AN217,AO217)))</f>
        <v>0.092</v>
      </c>
      <c r="AS217" s="281"/>
      <c r="AT217" s="70">
        <f t="shared" si="100"/>
        <v>0</v>
      </c>
      <c r="AU217" s="70">
        <f t="shared" si="120"/>
        <v>0</v>
      </c>
      <c r="AV217" s="71">
        <f t="shared" si="109"/>
        <v>0</v>
      </c>
      <c r="AW217" s="70">
        <f t="shared" si="110"/>
        <v>0</v>
      </c>
      <c r="AX217" s="70">
        <f t="shared" si="121"/>
        <v>0</v>
      </c>
      <c r="AY217" s="72">
        <f t="shared" si="111"/>
      </c>
      <c r="AZ217" s="70">
        <f>_xlfn.IFERROR(IF(Simulador!$U$29=1,0,IF($AT217&lt;=0.01,0,$AT217*Simulador!$AA$42)),0)+_xlfn.IFERROR(IF(Simulador!$U$29=1,0,IF($AT217&lt;=0.01,0,IF(Simulador!$D$22&gt;0,Simulador!$D$22,Simulador!$O$24)*Simulador!$AA$43)),0)</f>
        <v>0</v>
      </c>
      <c r="BA217" s="73"/>
      <c r="BB217" s="70">
        <f t="shared" si="112"/>
        <v>0</v>
      </c>
      <c r="BC217">
        <f t="shared" si="122"/>
        <v>0</v>
      </c>
      <c r="BD217" s="431">
        <f t="shared" si="123"/>
      </c>
      <c r="BE217" s="432">
        <f t="shared" si="124"/>
        <v>0</v>
      </c>
      <c r="BF217" s="69">
        <v>203</v>
      </c>
      <c r="BG217" s="38"/>
      <c r="BJ217" s="69"/>
      <c r="BM217" s="432"/>
    </row>
    <row r="218" spans="1:65" ht="12">
      <c r="A218" s="531">
        <v>204</v>
      </c>
      <c r="B218" s="106">
        <f t="shared" si="125"/>
        <v>0</v>
      </c>
      <c r="C218" s="106"/>
      <c r="D218" s="107">
        <f>IF(B218+F218-D217&lt;=0,B218+F218,IF(AND(OR(Simulador!$U$38=2,Simulador!$U$38=7),J217=0),D217*(1+AA218),IF($AE$3=2,B218*AQ218,D217*(1+AA218))))</f>
        <v>0</v>
      </c>
      <c r="E218" s="107"/>
      <c r="F218" s="107">
        <f t="shared" si="106"/>
        <v>0</v>
      </c>
      <c r="G218" s="107"/>
      <c r="H218" s="107">
        <f t="shared" si="126"/>
        <v>0</v>
      </c>
      <c r="I218" s="108"/>
      <c r="J218" s="109"/>
      <c r="K218" s="108"/>
      <c r="L218" s="107">
        <f>IF(Simulador!$T$40=1,0,J218*Simulador!$W$38*1.16)</f>
        <v>0</v>
      </c>
      <c r="M218" s="107"/>
      <c r="N218" s="110">
        <f>IF(B218-H218=0,0,N216)</f>
        <v>0</v>
      </c>
      <c r="O218" s="13"/>
      <c r="P218" s="664">
        <f t="shared" si="107"/>
      </c>
      <c r="Q218" s="3"/>
      <c r="R218" s="107">
        <f t="shared" si="113"/>
        <v>0</v>
      </c>
      <c r="S218" s="107"/>
      <c r="T218" s="107">
        <f>_xlfn.IFERROR(IF(Simulador!$U$29=1,0,IF($B218&lt;=0,0,$B218*Simulador!$AA$42)),0)</f>
        <v>0</v>
      </c>
      <c r="U218" s="107"/>
      <c r="V218" s="107">
        <f>_xlfn.IFERROR(IF(Simulador!$U$29=1,0,IF($B218&lt;=0,0,IF(Simulador!$D$22&gt;0,Simulador!$D$22,Simulador!$O$24)*Simulador!$AA$43)),0)</f>
        <v>0</v>
      </c>
      <c r="W218" s="107"/>
      <c r="X218" s="107"/>
      <c r="Y218" s="107">
        <f t="shared" si="108"/>
        <v>0</v>
      </c>
      <c r="Z218" s="14"/>
      <c r="AA218" s="19"/>
      <c r="AB218" s="24"/>
      <c r="AC218" s="303">
        <v>17</v>
      </c>
      <c r="AD218" s="295">
        <v>0</v>
      </c>
      <c r="AE218" s="400">
        <f t="shared" si="114"/>
        <v>0</v>
      </c>
      <c r="AF218" s="279">
        <f t="shared" si="115"/>
        <v>0</v>
      </c>
      <c r="AG218" s="279">
        <f t="shared" si="116"/>
        <v>0</v>
      </c>
      <c r="AH218" s="418">
        <f t="shared" si="117"/>
        <v>0</v>
      </c>
      <c r="AI218" s="296">
        <f>IF(Simulador!$T$67=1,'Tabla de amortizacion'!AJ218,'Tabla de amortizacion'!AR218)</f>
        <v>0.09</v>
      </c>
      <c r="AJ218" s="297">
        <f t="shared" si="127"/>
        <v>0.09</v>
      </c>
      <c r="AK218" s="298">
        <f t="shared" si="118"/>
        <v>0</v>
      </c>
      <c r="AL218" s="298"/>
      <c r="AM218" s="304"/>
      <c r="AN218" s="279"/>
      <c r="AO218" s="520">
        <f t="shared" si="104"/>
        <v>0.092</v>
      </c>
      <c r="AP218" s="299">
        <v>0</v>
      </c>
      <c r="AQ218" s="414">
        <f t="shared" si="119"/>
        <v>0</v>
      </c>
      <c r="AR218" s="300">
        <f>IF(AND(Simulador!$T$67=2,Simulador!$T$61=1),AL218,IF(AND(Simulador!$T$67=2,Simulador!$T$61=2),AM218,IF(AND(Simulador!$T$67=2,Simulador!$T$61=3),AN218,AO218)))</f>
        <v>0.092</v>
      </c>
      <c r="AS218" s="281"/>
      <c r="AT218" s="70">
        <f t="shared" si="100"/>
        <v>0</v>
      </c>
      <c r="AU218" s="70">
        <f t="shared" si="120"/>
        <v>0</v>
      </c>
      <c r="AV218" s="71">
        <f t="shared" si="109"/>
        <v>0</v>
      </c>
      <c r="AW218" s="70">
        <f t="shared" si="110"/>
        <v>0</v>
      </c>
      <c r="AX218" s="70">
        <f t="shared" si="121"/>
        <v>0</v>
      </c>
      <c r="AY218" s="72">
        <f t="shared" si="111"/>
      </c>
      <c r="AZ218" s="70">
        <f>_xlfn.IFERROR(IF(Simulador!$U$29=1,0,IF($AT218&lt;=0.01,0,$AT218*Simulador!$AA$42)),0)+_xlfn.IFERROR(IF(Simulador!$U$29=1,0,IF($AT218&lt;=0.01,0,IF(Simulador!$D$22&gt;0,Simulador!$D$22,Simulador!$O$24)*Simulador!$AA$43)),0)</f>
        <v>0</v>
      </c>
      <c r="BA218" s="73"/>
      <c r="BB218" s="70">
        <f t="shared" si="112"/>
        <v>0</v>
      </c>
      <c r="BC218">
        <f t="shared" si="122"/>
        <v>0</v>
      </c>
      <c r="BD218" s="431">
        <f t="shared" si="123"/>
      </c>
      <c r="BE218" s="432">
        <f t="shared" si="124"/>
        <v>0</v>
      </c>
      <c r="BF218" s="69">
        <v>204</v>
      </c>
      <c r="BG218" s="38"/>
      <c r="BJ218" s="69"/>
      <c r="BM218" s="432"/>
    </row>
    <row r="219" spans="1:65" ht="12">
      <c r="A219" s="531">
        <v>205</v>
      </c>
      <c r="B219" s="106">
        <f t="shared" si="125"/>
        <v>0</v>
      </c>
      <c r="C219" s="106"/>
      <c r="D219" s="107">
        <f>IF(B219+F219-D218&lt;=0,B219+F219,IF(AND(OR(Simulador!$U$38=2,Simulador!$U$38=7),J218=0),D218*(1+AA219),IF($AE$3=2,B219*AQ219,D218*(1+AA219))))</f>
        <v>0</v>
      </c>
      <c r="E219" s="107"/>
      <c r="F219" s="107">
        <f t="shared" si="106"/>
        <v>0</v>
      </c>
      <c r="G219" s="107"/>
      <c r="H219" s="107">
        <f t="shared" si="126"/>
        <v>0</v>
      </c>
      <c r="I219" s="108"/>
      <c r="J219" s="109"/>
      <c r="K219" s="108"/>
      <c r="L219" s="107">
        <f>IF(Simulador!$T$40=1,0,J219*Simulador!$W$38*1.16)</f>
        <v>0</v>
      </c>
      <c r="M219" s="107"/>
      <c r="N219" s="111"/>
      <c r="O219" s="13"/>
      <c r="P219" s="664">
        <f t="shared" si="107"/>
      </c>
      <c r="Q219" s="3"/>
      <c r="R219" s="107">
        <f t="shared" si="113"/>
        <v>0</v>
      </c>
      <c r="S219" s="107"/>
      <c r="T219" s="107">
        <f>_xlfn.IFERROR(IF(Simulador!$U$29=1,0,IF($B219&lt;=0,0,$B219*Simulador!$AA$42)),0)</f>
        <v>0</v>
      </c>
      <c r="U219" s="107"/>
      <c r="V219" s="107">
        <f>_xlfn.IFERROR(IF(Simulador!$U$29=1,0,IF($B219&lt;=0,0,IF(Simulador!$D$22&gt;0,Simulador!$D$22,Simulador!$O$24)*Simulador!$AA$43)),0)</f>
        <v>0</v>
      </c>
      <c r="W219" s="107"/>
      <c r="X219" s="107"/>
      <c r="Y219" s="107">
        <f t="shared" si="108"/>
        <v>0</v>
      </c>
      <c r="Z219" s="14"/>
      <c r="AA219" s="19">
        <f>IF(B219&lt;=0,0,Simulador!$I$42)</f>
        <v>0</v>
      </c>
      <c r="AB219" s="24"/>
      <c r="AC219" s="303">
        <v>17</v>
      </c>
      <c r="AD219" s="295">
        <v>1</v>
      </c>
      <c r="AE219" s="400">
        <f t="shared" si="114"/>
        <v>0</v>
      </c>
      <c r="AF219" s="279">
        <f t="shared" si="115"/>
        <v>0</v>
      </c>
      <c r="AG219" s="279">
        <f t="shared" si="116"/>
        <v>0</v>
      </c>
      <c r="AH219" s="418">
        <f t="shared" si="117"/>
        <v>0</v>
      </c>
      <c r="AI219" s="296">
        <f>IF(Simulador!$T$67=1,'Tabla de amortizacion'!AJ219,'Tabla de amortizacion'!AR219)</f>
        <v>0.09</v>
      </c>
      <c r="AJ219" s="297">
        <f>IF(AJ218=$AM$4,AJ218,IF(AJ218-0.25%&lt;=$AM$4,$AM$4,AJ218-0.25%))</f>
        <v>0.09</v>
      </c>
      <c r="AK219" s="298">
        <f t="shared" si="118"/>
        <v>0</v>
      </c>
      <c r="AL219" s="298"/>
      <c r="AM219" s="304"/>
      <c r="AN219" s="279"/>
      <c r="AO219" s="520">
        <f t="shared" si="104"/>
        <v>0.092</v>
      </c>
      <c r="AP219" s="299">
        <v>0</v>
      </c>
      <c r="AQ219" s="414">
        <f t="shared" si="119"/>
        <v>0</v>
      </c>
      <c r="AR219" s="300">
        <f>IF(AND(Simulador!$T$67=2,Simulador!$T$61=1),AL219,IF(AND(Simulador!$T$67=2,Simulador!$T$61=2),AM219,IF(AND(Simulador!$T$67=2,Simulador!$T$61=3),AN219,AO219)))</f>
        <v>0.092</v>
      </c>
      <c r="AS219" s="281"/>
      <c r="AT219" s="70">
        <f t="shared" si="100"/>
        <v>0</v>
      </c>
      <c r="AU219" s="70">
        <f t="shared" si="120"/>
        <v>0</v>
      </c>
      <c r="AV219" s="71">
        <f t="shared" si="109"/>
        <v>0</v>
      </c>
      <c r="AW219" s="70">
        <f t="shared" si="110"/>
        <v>0</v>
      </c>
      <c r="AX219" s="70">
        <f t="shared" si="121"/>
        <v>0</v>
      </c>
      <c r="AY219" s="72">
        <f t="shared" si="111"/>
      </c>
      <c r="AZ219" s="70">
        <f>_xlfn.IFERROR(IF(Simulador!$U$29=1,0,IF($AT219&lt;=0.01,0,$AT219*Simulador!$AA$42)),0)+_xlfn.IFERROR(IF(Simulador!$U$29=1,0,IF($AT219&lt;=0.01,0,IF(Simulador!$D$22&gt;0,Simulador!$D$22,Simulador!$O$24)*Simulador!$AA$43)),0)</f>
        <v>0</v>
      </c>
      <c r="BA219" s="73">
        <f>IF(AT219&lt;=0,0,$BA$27)</f>
        <v>0</v>
      </c>
      <c r="BB219" s="70">
        <f t="shared" si="112"/>
        <v>0</v>
      </c>
      <c r="BC219">
        <f t="shared" si="122"/>
        <v>0</v>
      </c>
      <c r="BD219" s="431">
        <f t="shared" si="123"/>
      </c>
      <c r="BE219" s="432">
        <f t="shared" si="124"/>
        <v>0</v>
      </c>
      <c r="BF219" s="69">
        <v>205</v>
      </c>
      <c r="BG219" s="38"/>
      <c r="BJ219" s="69"/>
      <c r="BM219" s="432"/>
    </row>
    <row r="220" spans="1:65" ht="12">
      <c r="A220" s="531">
        <v>206</v>
      </c>
      <c r="B220" s="106">
        <f t="shared" si="125"/>
        <v>0</v>
      </c>
      <c r="C220" s="106"/>
      <c r="D220" s="107">
        <f>IF(B220+F220-D219&lt;=0,B220+F220,IF(AND(OR(Simulador!$U$38=2,Simulador!$U$38=7),J219=0),D219*(1+AA220),IF($AE$3=2,B220*AQ220,D219*(1+AA220))))</f>
        <v>0</v>
      </c>
      <c r="E220" s="107"/>
      <c r="F220" s="107">
        <f t="shared" si="106"/>
        <v>0</v>
      </c>
      <c r="G220" s="107"/>
      <c r="H220" s="107">
        <f t="shared" si="126"/>
        <v>0</v>
      </c>
      <c r="I220" s="108"/>
      <c r="J220" s="109"/>
      <c r="K220" s="108"/>
      <c r="L220" s="107">
        <f>IF(Simulador!$T$40=1,0,J220*Simulador!$W$38*1.16)</f>
        <v>0</v>
      </c>
      <c r="M220" s="107"/>
      <c r="N220" s="110">
        <f>IF(B220-H220=0,0,N218*(1+(Simulador!$AF$76)))</f>
        <v>0</v>
      </c>
      <c r="O220" s="13"/>
      <c r="P220" s="664">
        <f t="shared" si="107"/>
      </c>
      <c r="Q220" s="3"/>
      <c r="R220" s="107">
        <f t="shared" si="113"/>
        <v>0</v>
      </c>
      <c r="S220" s="107"/>
      <c r="T220" s="107">
        <f>_xlfn.IFERROR(IF(Simulador!$U$29=1,0,IF($B220&lt;=0,0,$B220*Simulador!$AA$42)),0)</f>
        <v>0</v>
      </c>
      <c r="U220" s="107"/>
      <c r="V220" s="107">
        <f>_xlfn.IFERROR(IF(Simulador!$U$29=1,0,IF($B220&lt;=0,0,IF(Simulador!$D$22&gt;0,Simulador!$D$22,Simulador!$O$24)*Simulador!$AA$43)),0)</f>
        <v>0</v>
      </c>
      <c r="W220" s="107"/>
      <c r="X220" s="107"/>
      <c r="Y220" s="107">
        <f t="shared" si="108"/>
        <v>0</v>
      </c>
      <c r="Z220" s="14"/>
      <c r="AA220" s="19"/>
      <c r="AB220" s="24"/>
      <c r="AC220" s="303">
        <v>17</v>
      </c>
      <c r="AD220" s="301">
        <v>2</v>
      </c>
      <c r="AE220" s="400">
        <f t="shared" si="114"/>
        <v>0</v>
      </c>
      <c r="AF220" s="279">
        <f t="shared" si="115"/>
        <v>0</v>
      </c>
      <c r="AG220" s="279">
        <f t="shared" si="116"/>
        <v>0</v>
      </c>
      <c r="AH220" s="418">
        <f t="shared" si="117"/>
        <v>0</v>
      </c>
      <c r="AI220" s="296">
        <f>IF(Simulador!$T$67=1,'Tabla de amortizacion'!AJ220,'Tabla de amortizacion'!AR220)</f>
        <v>0.09</v>
      </c>
      <c r="AJ220" s="297">
        <f>AJ219</f>
        <v>0.09</v>
      </c>
      <c r="AK220" s="298">
        <f t="shared" si="118"/>
        <v>0</v>
      </c>
      <c r="AL220" s="298"/>
      <c r="AM220" s="304"/>
      <c r="AN220" s="279"/>
      <c r="AO220" s="520">
        <f t="shared" si="104"/>
        <v>0.092</v>
      </c>
      <c r="AP220" s="299">
        <v>0</v>
      </c>
      <c r="AQ220" s="414">
        <f t="shared" si="119"/>
        <v>0</v>
      </c>
      <c r="AR220" s="300">
        <f>IF(AND(Simulador!$T$67=2,Simulador!$T$61=1),AL220,IF(AND(Simulador!$T$67=2,Simulador!$T$61=2),AM220,IF(AND(Simulador!$T$67=2,Simulador!$T$61=3),AN220,AO220)))</f>
        <v>0.092</v>
      </c>
      <c r="AS220" s="281"/>
      <c r="AT220" s="70">
        <f t="shared" si="100"/>
        <v>0</v>
      </c>
      <c r="AU220" s="70">
        <f t="shared" si="120"/>
        <v>0</v>
      </c>
      <c r="AV220" s="71">
        <f t="shared" si="109"/>
        <v>0</v>
      </c>
      <c r="AW220" s="70">
        <f t="shared" si="110"/>
        <v>0</v>
      </c>
      <c r="AX220" s="70">
        <f t="shared" si="121"/>
        <v>0</v>
      </c>
      <c r="AY220" s="72">
        <f t="shared" si="111"/>
      </c>
      <c r="AZ220" s="70">
        <f>_xlfn.IFERROR(IF(Simulador!$U$29=1,0,IF($AT220&lt;=0.01,0,$AT220*Simulador!$AA$42)),0)+_xlfn.IFERROR(IF(Simulador!$U$29=1,0,IF($AT220&lt;=0.01,0,IF(Simulador!$D$22&gt;0,Simulador!$D$22,Simulador!$O$24)*Simulador!$AA$43)),0)</f>
        <v>0</v>
      </c>
      <c r="BA220" s="73"/>
      <c r="BB220" s="70">
        <f t="shared" si="112"/>
        <v>0</v>
      </c>
      <c r="BC220">
        <f t="shared" si="122"/>
        <v>0</v>
      </c>
      <c r="BD220" s="431">
        <f t="shared" si="123"/>
      </c>
      <c r="BE220" s="432">
        <f t="shared" si="124"/>
        <v>0</v>
      </c>
      <c r="BF220" s="69">
        <v>206</v>
      </c>
      <c r="BG220" s="38"/>
      <c r="BJ220" s="69"/>
      <c r="BM220" s="432"/>
    </row>
    <row r="221" spans="1:65" ht="12">
      <c r="A221" s="531">
        <v>207</v>
      </c>
      <c r="B221" s="106">
        <f t="shared" si="125"/>
        <v>0</v>
      </c>
      <c r="C221" s="106"/>
      <c r="D221" s="107">
        <f>IF(B221+F221-D220&lt;=0,B221+F221,IF(AND(OR(Simulador!$U$38=2,Simulador!$U$38=7),J220=0),D220*(1+AA221),IF($AE$3=2,B221*AQ221,D220*(1+AA221))))</f>
        <v>0</v>
      </c>
      <c r="E221" s="107"/>
      <c r="F221" s="107">
        <f t="shared" si="106"/>
        <v>0</v>
      </c>
      <c r="G221" s="107"/>
      <c r="H221" s="107">
        <f t="shared" si="126"/>
        <v>0</v>
      </c>
      <c r="I221" s="108"/>
      <c r="J221" s="109"/>
      <c r="K221" s="108"/>
      <c r="L221" s="107">
        <f>IF(Simulador!$T$40=1,0,J221*Simulador!$W$38*1.16)</f>
        <v>0</v>
      </c>
      <c r="M221" s="107"/>
      <c r="N221" s="111"/>
      <c r="O221" s="13"/>
      <c r="P221" s="664">
        <f t="shared" si="107"/>
      </c>
      <c r="Q221" s="3"/>
      <c r="R221" s="107">
        <f t="shared" si="113"/>
        <v>0</v>
      </c>
      <c r="S221" s="107"/>
      <c r="T221" s="107">
        <f>_xlfn.IFERROR(IF(Simulador!$U$29=1,0,IF($B221&lt;=0,0,$B221*Simulador!$AA$42)),0)</f>
        <v>0</v>
      </c>
      <c r="U221" s="107"/>
      <c r="V221" s="107">
        <f>_xlfn.IFERROR(IF(Simulador!$U$29=1,0,IF($B221&lt;=0,0,IF(Simulador!$D$22&gt;0,Simulador!$D$22,Simulador!$O$24)*Simulador!$AA$43)),0)</f>
        <v>0</v>
      </c>
      <c r="W221" s="107"/>
      <c r="X221" s="107"/>
      <c r="Y221" s="107">
        <f t="shared" si="108"/>
        <v>0</v>
      </c>
      <c r="Z221" s="14"/>
      <c r="AA221" s="19"/>
      <c r="AB221" s="24"/>
      <c r="AC221" s="303">
        <v>17</v>
      </c>
      <c r="AD221" s="301">
        <v>3</v>
      </c>
      <c r="AE221" s="400">
        <f t="shared" si="114"/>
        <v>0</v>
      </c>
      <c r="AF221" s="279">
        <f t="shared" si="115"/>
        <v>0</v>
      </c>
      <c r="AG221" s="279">
        <f t="shared" si="116"/>
        <v>0</v>
      </c>
      <c r="AH221" s="418">
        <f t="shared" si="117"/>
        <v>0</v>
      </c>
      <c r="AI221" s="296">
        <f>IF(Simulador!$T$67=1,'Tabla de amortizacion'!AJ221,'Tabla de amortizacion'!AR221)</f>
        <v>0.09</v>
      </c>
      <c r="AJ221" s="297">
        <f aca="true" t="shared" si="128" ref="AJ221:AJ230">AJ220</f>
        <v>0.09</v>
      </c>
      <c r="AK221" s="298">
        <f t="shared" si="118"/>
        <v>0</v>
      </c>
      <c r="AL221" s="298"/>
      <c r="AM221" s="304"/>
      <c r="AN221" s="279"/>
      <c r="AO221" s="520">
        <f t="shared" si="104"/>
        <v>0.092</v>
      </c>
      <c r="AP221" s="299">
        <v>0</v>
      </c>
      <c r="AQ221" s="414">
        <f t="shared" si="119"/>
        <v>0</v>
      </c>
      <c r="AR221" s="300">
        <f>IF(AND(Simulador!$T$67=2,Simulador!$T$61=1),AL221,IF(AND(Simulador!$T$67=2,Simulador!$T$61=2),AM221,IF(AND(Simulador!$T$67=2,Simulador!$T$61=3),AN221,AO221)))</f>
        <v>0.092</v>
      </c>
      <c r="AS221" s="281"/>
      <c r="AT221" s="70">
        <f aca="true" t="shared" si="129" ref="AT221:AT254">IF(AX220&lt;=0,0,AX220)</f>
        <v>0</v>
      </c>
      <c r="AU221" s="70">
        <f t="shared" si="120"/>
        <v>0</v>
      </c>
      <c r="AV221" s="71">
        <f t="shared" si="109"/>
        <v>0</v>
      </c>
      <c r="AW221" s="70">
        <f t="shared" si="110"/>
        <v>0</v>
      </c>
      <c r="AX221" s="70">
        <f t="shared" si="121"/>
        <v>0</v>
      </c>
      <c r="AY221" s="72">
        <f t="shared" si="111"/>
      </c>
      <c r="AZ221" s="70">
        <f>_xlfn.IFERROR(IF(Simulador!$U$29=1,0,IF($AT221&lt;=0.01,0,$AT221*Simulador!$AA$42)),0)+_xlfn.IFERROR(IF(Simulador!$U$29=1,0,IF($AT221&lt;=0.01,0,IF(Simulador!$D$22&gt;0,Simulador!$D$22,Simulador!$O$24)*Simulador!$AA$43)),0)</f>
        <v>0</v>
      </c>
      <c r="BA221" s="73"/>
      <c r="BB221" s="70">
        <f t="shared" si="112"/>
        <v>0</v>
      </c>
      <c r="BC221">
        <f t="shared" si="122"/>
        <v>0</v>
      </c>
      <c r="BD221" s="431">
        <f t="shared" si="123"/>
      </c>
      <c r="BE221" s="432">
        <f t="shared" si="124"/>
        <v>0</v>
      </c>
      <c r="BF221" s="69">
        <v>207</v>
      </c>
      <c r="BG221" s="38"/>
      <c r="BJ221" s="69"/>
      <c r="BM221" s="432"/>
    </row>
    <row r="222" spans="1:65" ht="12">
      <c r="A222" s="531">
        <v>208</v>
      </c>
      <c r="B222" s="106">
        <f t="shared" si="125"/>
        <v>0</v>
      </c>
      <c r="C222" s="106"/>
      <c r="D222" s="107">
        <f>IF(B222+F222-D221&lt;=0,B222+F222,IF(AND(OR(Simulador!$U$38=2,Simulador!$U$38=7),J221=0),D221*(1+AA222),IF($AE$3=2,B222*AQ222,D221*(1+AA222))))</f>
        <v>0</v>
      </c>
      <c r="E222" s="107"/>
      <c r="F222" s="107">
        <f t="shared" si="106"/>
        <v>0</v>
      </c>
      <c r="G222" s="107"/>
      <c r="H222" s="107">
        <f t="shared" si="126"/>
        <v>0</v>
      </c>
      <c r="I222" s="108"/>
      <c r="J222" s="109"/>
      <c r="K222" s="108"/>
      <c r="L222" s="107">
        <f>IF(Simulador!$T$40=1,0,J222*Simulador!$W$38*1.16)</f>
        <v>0</v>
      </c>
      <c r="M222" s="107"/>
      <c r="N222" s="110">
        <f>IF(B222-H222=0,0,N220)</f>
        <v>0</v>
      </c>
      <c r="O222" s="13"/>
      <c r="P222" s="664">
        <f t="shared" si="107"/>
      </c>
      <c r="Q222" s="3"/>
      <c r="R222" s="107">
        <f t="shared" si="113"/>
        <v>0</v>
      </c>
      <c r="S222" s="107"/>
      <c r="T222" s="107">
        <f>_xlfn.IFERROR(IF(Simulador!$U$29=1,0,IF($B222&lt;=0,0,$B222*Simulador!$AA$42)),0)</f>
        <v>0</v>
      </c>
      <c r="U222" s="107"/>
      <c r="V222" s="107">
        <f>_xlfn.IFERROR(IF(Simulador!$U$29=1,0,IF($B222&lt;=0,0,IF(Simulador!$D$22&gt;0,Simulador!$D$22,Simulador!$O$24)*Simulador!$AA$43)),0)</f>
        <v>0</v>
      </c>
      <c r="W222" s="107"/>
      <c r="X222" s="107"/>
      <c r="Y222" s="107">
        <f t="shared" si="108"/>
        <v>0</v>
      </c>
      <c r="Z222" s="14"/>
      <c r="AA222" s="19"/>
      <c r="AB222" s="24"/>
      <c r="AC222" s="303">
        <v>17</v>
      </c>
      <c r="AD222" s="295">
        <v>4</v>
      </c>
      <c r="AE222" s="400">
        <f t="shared" si="114"/>
        <v>0</v>
      </c>
      <c r="AF222" s="279">
        <f t="shared" si="115"/>
        <v>0</v>
      </c>
      <c r="AG222" s="279">
        <f t="shared" si="116"/>
        <v>0</v>
      </c>
      <c r="AH222" s="418">
        <f t="shared" si="117"/>
        <v>0</v>
      </c>
      <c r="AI222" s="296">
        <f>IF(Simulador!$T$67=1,'Tabla de amortizacion'!AJ222,'Tabla de amortizacion'!AR222)</f>
        <v>0.09</v>
      </c>
      <c r="AJ222" s="297">
        <f t="shared" si="128"/>
        <v>0.09</v>
      </c>
      <c r="AK222" s="298">
        <f t="shared" si="118"/>
        <v>0</v>
      </c>
      <c r="AL222" s="298"/>
      <c r="AM222" s="304"/>
      <c r="AN222" s="279"/>
      <c r="AO222" s="520">
        <f t="shared" si="104"/>
        <v>0.092</v>
      </c>
      <c r="AP222" s="299">
        <v>0</v>
      </c>
      <c r="AQ222" s="414">
        <f t="shared" si="119"/>
        <v>0</v>
      </c>
      <c r="AR222" s="300">
        <f>IF(AND(Simulador!$T$67=2,Simulador!$T$61=1),AL222,IF(AND(Simulador!$T$67=2,Simulador!$T$61=2),AM222,IF(AND(Simulador!$T$67=2,Simulador!$T$61=3),AN222,AO222)))</f>
        <v>0.092</v>
      </c>
      <c r="AS222" s="281"/>
      <c r="AT222" s="70">
        <f t="shared" si="129"/>
        <v>0</v>
      </c>
      <c r="AU222" s="70">
        <f t="shared" si="120"/>
        <v>0</v>
      </c>
      <c r="AV222" s="71">
        <f t="shared" si="109"/>
        <v>0</v>
      </c>
      <c r="AW222" s="70">
        <f t="shared" si="110"/>
        <v>0</v>
      </c>
      <c r="AX222" s="70">
        <f t="shared" si="121"/>
        <v>0</v>
      </c>
      <c r="AY222" s="72">
        <f t="shared" si="111"/>
      </c>
      <c r="AZ222" s="70">
        <f>_xlfn.IFERROR(IF(Simulador!$U$29=1,0,IF($AT222&lt;=0.01,0,$AT222*Simulador!$AA$42)),0)+_xlfn.IFERROR(IF(Simulador!$U$29=1,0,IF($AT222&lt;=0.01,0,IF(Simulador!$D$22&gt;0,Simulador!$D$22,Simulador!$O$24)*Simulador!$AA$43)),0)</f>
        <v>0</v>
      </c>
      <c r="BA222" s="73"/>
      <c r="BB222" s="70">
        <f t="shared" si="112"/>
        <v>0</v>
      </c>
      <c r="BC222">
        <f t="shared" si="122"/>
        <v>0</v>
      </c>
      <c r="BD222" s="431">
        <f t="shared" si="123"/>
      </c>
      <c r="BE222" s="432">
        <f t="shared" si="124"/>
        <v>0</v>
      </c>
      <c r="BF222" s="69">
        <v>208</v>
      </c>
      <c r="BG222" s="38"/>
      <c r="BJ222" s="69"/>
      <c r="BM222" s="432"/>
    </row>
    <row r="223" spans="1:65" ht="12">
      <c r="A223" s="531">
        <v>209</v>
      </c>
      <c r="B223" s="106">
        <f t="shared" si="125"/>
        <v>0</v>
      </c>
      <c r="C223" s="106"/>
      <c r="D223" s="107">
        <f>IF(B223+F223-D222&lt;=0,B223+F223,IF(AND(OR(Simulador!$U$38=2,Simulador!$U$38=7),J222=0),D222*(1+AA223),IF($AE$3=2,B223*AQ223,D222*(1+AA223))))</f>
        <v>0</v>
      </c>
      <c r="E223" s="107"/>
      <c r="F223" s="107">
        <f t="shared" si="106"/>
        <v>0</v>
      </c>
      <c r="G223" s="107"/>
      <c r="H223" s="107">
        <f t="shared" si="126"/>
        <v>0</v>
      </c>
      <c r="I223" s="108"/>
      <c r="J223" s="109"/>
      <c r="K223" s="108"/>
      <c r="L223" s="107">
        <f>IF(Simulador!$T$40=1,0,J223*Simulador!$W$38*1.16)</f>
        <v>0</v>
      </c>
      <c r="M223" s="107"/>
      <c r="N223" s="111"/>
      <c r="O223" s="13"/>
      <c r="P223" s="664">
        <f t="shared" si="107"/>
      </c>
      <c r="Q223" s="3"/>
      <c r="R223" s="107">
        <f t="shared" si="113"/>
        <v>0</v>
      </c>
      <c r="S223" s="107"/>
      <c r="T223" s="107">
        <f>_xlfn.IFERROR(IF(Simulador!$U$29=1,0,IF($B223&lt;=0,0,$B223*Simulador!$AA$42)),0)</f>
        <v>0</v>
      </c>
      <c r="U223" s="107"/>
      <c r="V223" s="107">
        <f>_xlfn.IFERROR(IF(Simulador!$U$29=1,0,IF($B223&lt;=0,0,IF(Simulador!$D$22&gt;0,Simulador!$D$22,Simulador!$O$24)*Simulador!$AA$43)),0)</f>
        <v>0</v>
      </c>
      <c r="W223" s="107"/>
      <c r="X223" s="107"/>
      <c r="Y223" s="107">
        <f t="shared" si="108"/>
        <v>0</v>
      </c>
      <c r="Z223" s="14"/>
      <c r="AA223" s="19"/>
      <c r="AB223" s="24"/>
      <c r="AC223" s="303">
        <v>17</v>
      </c>
      <c r="AD223" s="295">
        <v>5</v>
      </c>
      <c r="AE223" s="400">
        <f t="shared" si="114"/>
        <v>0</v>
      </c>
      <c r="AF223" s="279">
        <f t="shared" si="115"/>
        <v>0</v>
      </c>
      <c r="AG223" s="279">
        <f t="shared" si="116"/>
        <v>0</v>
      </c>
      <c r="AH223" s="418">
        <f t="shared" si="117"/>
        <v>0</v>
      </c>
      <c r="AI223" s="296">
        <f>IF(Simulador!$T$67=1,'Tabla de amortizacion'!AJ223,'Tabla de amortizacion'!AR223)</f>
        <v>0.09</v>
      </c>
      <c r="AJ223" s="297">
        <f t="shared" si="128"/>
        <v>0.09</v>
      </c>
      <c r="AK223" s="298">
        <f t="shared" si="118"/>
        <v>0</v>
      </c>
      <c r="AL223" s="298"/>
      <c r="AM223" s="304"/>
      <c r="AN223" s="279"/>
      <c r="AO223" s="520">
        <f t="shared" si="104"/>
        <v>0.092</v>
      </c>
      <c r="AP223" s="299">
        <v>0</v>
      </c>
      <c r="AQ223" s="414">
        <f t="shared" si="119"/>
        <v>0</v>
      </c>
      <c r="AR223" s="300">
        <f>IF(AND(Simulador!$T$67=2,Simulador!$T$61=1),AL223,IF(AND(Simulador!$T$67=2,Simulador!$T$61=2),AM223,IF(AND(Simulador!$T$67=2,Simulador!$T$61=3),AN223,AO223)))</f>
        <v>0.092</v>
      </c>
      <c r="AS223" s="281"/>
      <c r="AT223" s="70">
        <f t="shared" si="129"/>
        <v>0</v>
      </c>
      <c r="AU223" s="70">
        <f t="shared" si="120"/>
        <v>0</v>
      </c>
      <c r="AV223" s="71">
        <f t="shared" si="109"/>
        <v>0</v>
      </c>
      <c r="AW223" s="70">
        <f t="shared" si="110"/>
        <v>0</v>
      </c>
      <c r="AX223" s="70">
        <f t="shared" si="121"/>
        <v>0</v>
      </c>
      <c r="AY223" s="72">
        <f t="shared" si="111"/>
      </c>
      <c r="AZ223" s="70">
        <f>_xlfn.IFERROR(IF(Simulador!$U$29=1,0,IF($AT223&lt;=0.01,0,$AT223*Simulador!$AA$42)),0)+_xlfn.IFERROR(IF(Simulador!$U$29=1,0,IF($AT223&lt;=0.01,0,IF(Simulador!$D$22&gt;0,Simulador!$D$22,Simulador!$O$24)*Simulador!$AA$43)),0)</f>
        <v>0</v>
      </c>
      <c r="BA223" s="73"/>
      <c r="BB223" s="70">
        <f t="shared" si="112"/>
        <v>0</v>
      </c>
      <c r="BC223">
        <f t="shared" si="122"/>
        <v>0</v>
      </c>
      <c r="BD223" s="431">
        <f t="shared" si="123"/>
      </c>
      <c r="BE223" s="432">
        <f t="shared" si="124"/>
        <v>0</v>
      </c>
      <c r="BF223" s="69">
        <v>209</v>
      </c>
      <c r="BG223" s="38"/>
      <c r="BJ223" s="69"/>
      <c r="BM223" s="432"/>
    </row>
    <row r="224" spans="1:65" ht="12">
      <c r="A224" s="531">
        <v>210</v>
      </c>
      <c r="B224" s="106">
        <f t="shared" si="125"/>
        <v>0</v>
      </c>
      <c r="C224" s="106"/>
      <c r="D224" s="107">
        <f>IF(B224+F224-D223&lt;=0,B224+F224,IF(AND(OR(Simulador!$U$38=2,Simulador!$U$38=7),J223=0),D223*(1+AA224),IF($AE$3=2,B224*AQ224,D223*(1+AA224))))</f>
        <v>0</v>
      </c>
      <c r="E224" s="107"/>
      <c r="F224" s="107">
        <f t="shared" si="106"/>
        <v>0</v>
      </c>
      <c r="G224" s="107"/>
      <c r="H224" s="107">
        <f t="shared" si="126"/>
        <v>0</v>
      </c>
      <c r="I224" s="108"/>
      <c r="J224" s="109"/>
      <c r="K224" s="108"/>
      <c r="L224" s="107">
        <f>IF(Simulador!$T$40=1,0,J224*Simulador!$W$38*1.16)</f>
        <v>0</v>
      </c>
      <c r="M224" s="107"/>
      <c r="N224" s="110">
        <f>IF(B224-H224=0,0,N222)</f>
        <v>0</v>
      </c>
      <c r="O224" s="13"/>
      <c r="P224" s="664">
        <f t="shared" si="107"/>
      </c>
      <c r="Q224" s="3"/>
      <c r="R224" s="107">
        <f t="shared" si="113"/>
        <v>0</v>
      </c>
      <c r="S224" s="107"/>
      <c r="T224" s="107">
        <f>_xlfn.IFERROR(IF(Simulador!$U$29=1,0,IF($B224&lt;=0,0,$B224*Simulador!$AA$42)),0)</f>
        <v>0</v>
      </c>
      <c r="U224" s="107"/>
      <c r="V224" s="107">
        <f>_xlfn.IFERROR(IF(Simulador!$U$29=1,0,IF($B224&lt;=0,0,IF(Simulador!$D$22&gt;0,Simulador!$D$22,Simulador!$O$24)*Simulador!$AA$43)),0)</f>
        <v>0</v>
      </c>
      <c r="W224" s="107"/>
      <c r="X224" s="107"/>
      <c r="Y224" s="107">
        <f t="shared" si="108"/>
        <v>0</v>
      </c>
      <c r="Z224" s="14"/>
      <c r="AA224" s="19"/>
      <c r="AB224" s="24"/>
      <c r="AC224" s="303">
        <v>17</v>
      </c>
      <c r="AD224" s="295">
        <v>6</v>
      </c>
      <c r="AE224" s="400">
        <f t="shared" si="114"/>
        <v>0</v>
      </c>
      <c r="AF224" s="279">
        <f t="shared" si="115"/>
        <v>0</v>
      </c>
      <c r="AG224" s="279">
        <f t="shared" si="116"/>
        <v>0</v>
      </c>
      <c r="AH224" s="418">
        <f t="shared" si="117"/>
        <v>0</v>
      </c>
      <c r="AI224" s="296">
        <f>IF(Simulador!$T$67=1,'Tabla de amortizacion'!AJ224,'Tabla de amortizacion'!AR224)</f>
        <v>0.09</v>
      </c>
      <c r="AJ224" s="297">
        <f t="shared" si="128"/>
        <v>0.09</v>
      </c>
      <c r="AK224" s="298">
        <f t="shared" si="118"/>
        <v>0</v>
      </c>
      <c r="AL224" s="298"/>
      <c r="AM224" s="304"/>
      <c r="AN224" s="279"/>
      <c r="AO224" s="520">
        <f t="shared" si="104"/>
        <v>0.092</v>
      </c>
      <c r="AP224" s="299">
        <v>0</v>
      </c>
      <c r="AQ224" s="414">
        <f t="shared" si="119"/>
        <v>0</v>
      </c>
      <c r="AR224" s="300">
        <f>IF(AND(Simulador!$T$67=2,Simulador!$T$61=1),AL224,IF(AND(Simulador!$T$67=2,Simulador!$T$61=2),AM224,IF(AND(Simulador!$T$67=2,Simulador!$T$61=3),AN224,AO224)))</f>
        <v>0.092</v>
      </c>
      <c r="AS224" s="281"/>
      <c r="AT224" s="70">
        <f t="shared" si="129"/>
        <v>0</v>
      </c>
      <c r="AU224" s="70">
        <f t="shared" si="120"/>
        <v>0</v>
      </c>
      <c r="AV224" s="71">
        <f t="shared" si="109"/>
        <v>0</v>
      </c>
      <c r="AW224" s="70">
        <f t="shared" si="110"/>
        <v>0</v>
      </c>
      <c r="AX224" s="70">
        <f t="shared" si="121"/>
        <v>0</v>
      </c>
      <c r="AY224" s="72">
        <f t="shared" si="111"/>
      </c>
      <c r="AZ224" s="70">
        <f>_xlfn.IFERROR(IF(Simulador!$U$29=1,0,IF($AT224&lt;=0.01,0,$AT224*Simulador!$AA$42)),0)+_xlfn.IFERROR(IF(Simulador!$U$29=1,0,IF($AT224&lt;=0.01,0,IF(Simulador!$D$22&gt;0,Simulador!$D$22,Simulador!$O$24)*Simulador!$AA$43)),0)</f>
        <v>0</v>
      </c>
      <c r="BA224" s="73"/>
      <c r="BB224" s="70">
        <f t="shared" si="112"/>
        <v>0</v>
      </c>
      <c r="BC224">
        <f t="shared" si="122"/>
        <v>0</v>
      </c>
      <c r="BD224" s="431">
        <f t="shared" si="123"/>
      </c>
      <c r="BE224" s="432">
        <f t="shared" si="124"/>
        <v>0</v>
      </c>
      <c r="BF224" s="69">
        <v>210</v>
      </c>
      <c r="BG224" s="38"/>
      <c r="BJ224" s="69"/>
      <c r="BM224" s="432"/>
    </row>
    <row r="225" spans="1:65" ht="12">
      <c r="A225" s="531">
        <v>211</v>
      </c>
      <c r="B225" s="106">
        <f t="shared" si="125"/>
        <v>0</v>
      </c>
      <c r="C225" s="106"/>
      <c r="D225" s="107">
        <f>IF(B225+F225-D224&lt;=0,B225+F225,IF(AND(OR(Simulador!$U$38=2,Simulador!$U$38=7),J224=0),D224*(1+AA225),IF($AE$3=2,B225*AQ225,D224*(1+AA225))))</f>
        <v>0</v>
      </c>
      <c r="E225" s="107"/>
      <c r="F225" s="107">
        <f t="shared" si="106"/>
        <v>0</v>
      </c>
      <c r="G225" s="107"/>
      <c r="H225" s="107">
        <f t="shared" si="126"/>
        <v>0</v>
      </c>
      <c r="I225" s="108"/>
      <c r="J225" s="109"/>
      <c r="K225" s="108"/>
      <c r="L225" s="107">
        <f>IF(Simulador!$T$40=1,0,J225*Simulador!$W$38*1.16)</f>
        <v>0</v>
      </c>
      <c r="M225" s="107"/>
      <c r="N225" s="111"/>
      <c r="O225" s="13"/>
      <c r="P225" s="664">
        <f t="shared" si="107"/>
      </c>
      <c r="Q225" s="3"/>
      <c r="R225" s="107">
        <f t="shared" si="113"/>
        <v>0</v>
      </c>
      <c r="S225" s="107"/>
      <c r="T225" s="107">
        <f>_xlfn.IFERROR(IF(Simulador!$U$29=1,0,IF($B225&lt;=0,0,$B225*Simulador!$AA$42)),0)</f>
        <v>0</v>
      </c>
      <c r="U225" s="107"/>
      <c r="V225" s="107">
        <f>_xlfn.IFERROR(IF(Simulador!$U$29=1,0,IF($B225&lt;=0,0,IF(Simulador!$D$22&gt;0,Simulador!$D$22,Simulador!$O$24)*Simulador!$AA$43)),0)</f>
        <v>0</v>
      </c>
      <c r="W225" s="107"/>
      <c r="X225" s="107"/>
      <c r="Y225" s="107">
        <f t="shared" si="108"/>
        <v>0</v>
      </c>
      <c r="Z225" s="14"/>
      <c r="AA225" s="19"/>
      <c r="AB225" s="24"/>
      <c r="AC225" s="303">
        <v>17</v>
      </c>
      <c r="AD225" s="295">
        <v>7</v>
      </c>
      <c r="AE225" s="400">
        <f t="shared" si="114"/>
        <v>0</v>
      </c>
      <c r="AF225" s="279">
        <f t="shared" si="115"/>
        <v>0</v>
      </c>
      <c r="AG225" s="279">
        <f t="shared" si="116"/>
        <v>0</v>
      </c>
      <c r="AH225" s="418">
        <f t="shared" si="117"/>
        <v>0</v>
      </c>
      <c r="AI225" s="296">
        <f>IF(Simulador!$T$67=1,'Tabla de amortizacion'!AJ225,'Tabla de amortizacion'!AR225)</f>
        <v>0.09</v>
      </c>
      <c r="AJ225" s="297">
        <f t="shared" si="128"/>
        <v>0.09</v>
      </c>
      <c r="AK225" s="298">
        <f t="shared" si="118"/>
        <v>0</v>
      </c>
      <c r="AL225" s="298"/>
      <c r="AM225" s="304"/>
      <c r="AN225" s="279"/>
      <c r="AO225" s="520">
        <f t="shared" si="104"/>
        <v>0.092</v>
      </c>
      <c r="AP225" s="299">
        <v>0</v>
      </c>
      <c r="AQ225" s="414">
        <f t="shared" si="119"/>
        <v>0</v>
      </c>
      <c r="AR225" s="300">
        <f>IF(AND(Simulador!$T$67=2,Simulador!$T$61=1),AL225,IF(AND(Simulador!$T$67=2,Simulador!$T$61=2),AM225,IF(AND(Simulador!$T$67=2,Simulador!$T$61=3),AN225,AO225)))</f>
        <v>0.092</v>
      </c>
      <c r="AS225" s="281"/>
      <c r="AT225" s="70">
        <f t="shared" si="129"/>
        <v>0</v>
      </c>
      <c r="AU225" s="70">
        <f t="shared" si="120"/>
        <v>0</v>
      </c>
      <c r="AV225" s="71">
        <f t="shared" si="109"/>
        <v>0</v>
      </c>
      <c r="AW225" s="70">
        <f t="shared" si="110"/>
        <v>0</v>
      </c>
      <c r="AX225" s="70">
        <f t="shared" si="121"/>
        <v>0</v>
      </c>
      <c r="AY225" s="72">
        <f t="shared" si="111"/>
      </c>
      <c r="AZ225" s="70">
        <f>_xlfn.IFERROR(IF(Simulador!$U$29=1,0,IF($AT225&lt;=0.01,0,$AT225*Simulador!$AA$42)),0)+_xlfn.IFERROR(IF(Simulador!$U$29=1,0,IF($AT225&lt;=0.01,0,IF(Simulador!$D$22&gt;0,Simulador!$D$22,Simulador!$O$24)*Simulador!$AA$43)),0)</f>
        <v>0</v>
      </c>
      <c r="BA225" s="73"/>
      <c r="BB225" s="70">
        <f t="shared" si="112"/>
        <v>0</v>
      </c>
      <c r="BC225">
        <f t="shared" si="122"/>
        <v>0</v>
      </c>
      <c r="BD225" s="431">
        <f t="shared" si="123"/>
      </c>
      <c r="BE225" s="432">
        <f t="shared" si="124"/>
        <v>0</v>
      </c>
      <c r="BF225" s="69">
        <v>211</v>
      </c>
      <c r="BG225" s="38"/>
      <c r="BJ225" s="69"/>
      <c r="BM225" s="432"/>
    </row>
    <row r="226" spans="1:65" ht="12">
      <c r="A226" s="531">
        <v>212</v>
      </c>
      <c r="B226" s="106">
        <f t="shared" si="125"/>
        <v>0</v>
      </c>
      <c r="C226" s="106"/>
      <c r="D226" s="107">
        <f>IF(B226+F226-D225&lt;=0,B226+F226,IF(AND(OR(Simulador!$U$38=2,Simulador!$U$38=7),J225=0),D225*(1+AA226),IF($AE$3=2,B226*AQ226,D225*(1+AA226))))</f>
        <v>0</v>
      </c>
      <c r="E226" s="107"/>
      <c r="F226" s="107">
        <f t="shared" si="106"/>
        <v>0</v>
      </c>
      <c r="G226" s="107"/>
      <c r="H226" s="107">
        <f t="shared" si="126"/>
        <v>0</v>
      </c>
      <c r="I226" s="108"/>
      <c r="J226" s="109"/>
      <c r="K226" s="108"/>
      <c r="L226" s="107">
        <f>IF(Simulador!$T$40=1,0,J226*Simulador!$W$38*1.16)</f>
        <v>0</v>
      </c>
      <c r="M226" s="107"/>
      <c r="N226" s="110">
        <f>IF(B226-H226=0,0,N224)</f>
        <v>0</v>
      </c>
      <c r="O226" s="13"/>
      <c r="P226" s="664">
        <f t="shared" si="107"/>
      </c>
      <c r="Q226" s="3"/>
      <c r="R226" s="107">
        <f t="shared" si="113"/>
        <v>0</v>
      </c>
      <c r="S226" s="107"/>
      <c r="T226" s="107">
        <f>_xlfn.IFERROR(IF(Simulador!$U$29=1,0,IF($B226&lt;=0,0,$B226*Simulador!$AA$42)),0)</f>
        <v>0</v>
      </c>
      <c r="U226" s="107"/>
      <c r="V226" s="107">
        <f>_xlfn.IFERROR(IF(Simulador!$U$29=1,0,IF($B226&lt;=0,0,IF(Simulador!$D$22&gt;0,Simulador!$D$22,Simulador!$O$24)*Simulador!$AA$43)),0)</f>
        <v>0</v>
      </c>
      <c r="W226" s="107"/>
      <c r="X226" s="107"/>
      <c r="Y226" s="107">
        <f t="shared" si="108"/>
        <v>0</v>
      </c>
      <c r="Z226" s="14"/>
      <c r="AA226" s="19"/>
      <c r="AB226" s="24"/>
      <c r="AC226" s="303">
        <v>17</v>
      </c>
      <c r="AD226" s="295">
        <v>8</v>
      </c>
      <c r="AE226" s="400">
        <f t="shared" si="114"/>
        <v>0</v>
      </c>
      <c r="AF226" s="279">
        <f t="shared" si="115"/>
        <v>0</v>
      </c>
      <c r="AG226" s="279">
        <f t="shared" si="116"/>
        <v>0</v>
      </c>
      <c r="AH226" s="418">
        <f t="shared" si="117"/>
        <v>0</v>
      </c>
      <c r="AI226" s="296">
        <f>IF(Simulador!$T$67=1,'Tabla de amortizacion'!AJ226,'Tabla de amortizacion'!AR226)</f>
        <v>0.09</v>
      </c>
      <c r="AJ226" s="297">
        <f t="shared" si="128"/>
        <v>0.09</v>
      </c>
      <c r="AK226" s="298">
        <f t="shared" si="118"/>
        <v>0</v>
      </c>
      <c r="AL226" s="298"/>
      <c r="AM226" s="304"/>
      <c r="AN226" s="279"/>
      <c r="AO226" s="520">
        <f t="shared" si="104"/>
        <v>0.092</v>
      </c>
      <c r="AP226" s="299">
        <v>0</v>
      </c>
      <c r="AQ226" s="414">
        <f t="shared" si="119"/>
        <v>0</v>
      </c>
      <c r="AR226" s="300">
        <f>IF(AND(Simulador!$T$67=2,Simulador!$T$61=1),AL226,IF(AND(Simulador!$T$67=2,Simulador!$T$61=2),AM226,IF(AND(Simulador!$T$67=2,Simulador!$T$61=3),AN226,AO226)))</f>
        <v>0.092</v>
      </c>
      <c r="AS226" s="281"/>
      <c r="AT226" s="70">
        <f t="shared" si="129"/>
        <v>0</v>
      </c>
      <c r="AU226" s="70">
        <f t="shared" si="120"/>
        <v>0</v>
      </c>
      <c r="AV226" s="71">
        <f t="shared" si="109"/>
        <v>0</v>
      </c>
      <c r="AW226" s="70">
        <f t="shared" si="110"/>
        <v>0</v>
      </c>
      <c r="AX226" s="70">
        <f t="shared" si="121"/>
        <v>0</v>
      </c>
      <c r="AY226" s="72">
        <f t="shared" si="111"/>
      </c>
      <c r="AZ226" s="70">
        <f>_xlfn.IFERROR(IF(Simulador!$U$29=1,0,IF($AT226&lt;=0.01,0,$AT226*Simulador!$AA$42)),0)+_xlfn.IFERROR(IF(Simulador!$U$29=1,0,IF($AT226&lt;=0.01,0,IF(Simulador!$D$22&gt;0,Simulador!$D$22,Simulador!$O$24)*Simulador!$AA$43)),0)</f>
        <v>0</v>
      </c>
      <c r="BA226" s="73"/>
      <c r="BB226" s="70">
        <f t="shared" si="112"/>
        <v>0</v>
      </c>
      <c r="BC226">
        <f t="shared" si="122"/>
        <v>0</v>
      </c>
      <c r="BD226" s="431">
        <f t="shared" si="123"/>
      </c>
      <c r="BE226" s="432">
        <f t="shared" si="124"/>
        <v>0</v>
      </c>
      <c r="BF226" s="69">
        <v>212</v>
      </c>
      <c r="BG226" s="38"/>
      <c r="BJ226" s="69"/>
      <c r="BM226" s="432"/>
    </row>
    <row r="227" spans="1:65" ht="12">
      <c r="A227" s="531">
        <v>213</v>
      </c>
      <c r="B227" s="106">
        <f t="shared" si="125"/>
        <v>0</v>
      </c>
      <c r="C227" s="106"/>
      <c r="D227" s="107">
        <f>IF(B227+F227-D226&lt;=0,B227+F227,IF(AND(OR(Simulador!$U$38=2,Simulador!$U$38=7),J226=0),D226*(1+AA227),IF($AE$3=2,B227*AQ227,D226*(1+AA227))))</f>
        <v>0</v>
      </c>
      <c r="E227" s="107"/>
      <c r="F227" s="107">
        <f t="shared" si="106"/>
        <v>0</v>
      </c>
      <c r="G227" s="107"/>
      <c r="H227" s="107">
        <f t="shared" si="126"/>
        <v>0</v>
      </c>
      <c r="I227" s="108"/>
      <c r="J227" s="109"/>
      <c r="K227" s="108"/>
      <c r="L227" s="107">
        <f>IF(Simulador!$T$40=1,0,J227*Simulador!$W$38*1.16)</f>
        <v>0</v>
      </c>
      <c r="M227" s="107"/>
      <c r="N227" s="111"/>
      <c r="O227" s="13"/>
      <c r="P227" s="664">
        <f t="shared" si="107"/>
      </c>
      <c r="Q227" s="3"/>
      <c r="R227" s="107">
        <f t="shared" si="113"/>
        <v>0</v>
      </c>
      <c r="S227" s="107"/>
      <c r="T227" s="107">
        <f>_xlfn.IFERROR(IF(Simulador!$U$29=1,0,IF($B227&lt;=0,0,$B227*Simulador!$AA$42)),0)</f>
        <v>0</v>
      </c>
      <c r="U227" s="107"/>
      <c r="V227" s="107">
        <f>_xlfn.IFERROR(IF(Simulador!$U$29=1,0,IF($B227&lt;=0,0,IF(Simulador!$D$22&gt;0,Simulador!$D$22,Simulador!$O$24)*Simulador!$AA$43)),0)</f>
        <v>0</v>
      </c>
      <c r="W227" s="107"/>
      <c r="X227" s="107"/>
      <c r="Y227" s="107">
        <f t="shared" si="108"/>
        <v>0</v>
      </c>
      <c r="Z227" s="14"/>
      <c r="AA227" s="19"/>
      <c r="AB227" s="24"/>
      <c r="AC227" s="303">
        <v>17</v>
      </c>
      <c r="AD227" s="302">
        <v>9</v>
      </c>
      <c r="AE227" s="400">
        <f t="shared" si="114"/>
        <v>0</v>
      </c>
      <c r="AF227" s="279">
        <f t="shared" si="115"/>
        <v>0</v>
      </c>
      <c r="AG227" s="279">
        <f t="shared" si="116"/>
        <v>0</v>
      </c>
      <c r="AH227" s="418">
        <f t="shared" si="117"/>
        <v>0</v>
      </c>
      <c r="AI227" s="296">
        <f>IF(Simulador!$T$67=1,'Tabla de amortizacion'!AJ227,'Tabla de amortizacion'!AR227)</f>
        <v>0.09</v>
      </c>
      <c r="AJ227" s="297">
        <f t="shared" si="128"/>
        <v>0.09</v>
      </c>
      <c r="AK227" s="298">
        <f t="shared" si="118"/>
        <v>0</v>
      </c>
      <c r="AL227" s="298"/>
      <c r="AM227" s="304"/>
      <c r="AN227" s="279"/>
      <c r="AO227" s="520">
        <f t="shared" si="104"/>
        <v>0.092</v>
      </c>
      <c r="AP227" s="299">
        <v>0</v>
      </c>
      <c r="AQ227" s="414">
        <f t="shared" si="119"/>
        <v>0</v>
      </c>
      <c r="AR227" s="300">
        <f>IF(AND(Simulador!$T$67=2,Simulador!$T$61=1),AL227,IF(AND(Simulador!$T$67=2,Simulador!$T$61=2),AM227,IF(AND(Simulador!$T$67=2,Simulador!$T$61=3),AN227,AO227)))</f>
        <v>0.092</v>
      </c>
      <c r="AS227" s="281"/>
      <c r="AT227" s="70">
        <f t="shared" si="129"/>
        <v>0</v>
      </c>
      <c r="AU227" s="70">
        <f t="shared" si="120"/>
        <v>0</v>
      </c>
      <c r="AV227" s="71">
        <f t="shared" si="109"/>
        <v>0</v>
      </c>
      <c r="AW227" s="70">
        <f t="shared" si="110"/>
        <v>0</v>
      </c>
      <c r="AX227" s="70">
        <f t="shared" si="121"/>
        <v>0</v>
      </c>
      <c r="AY227" s="72">
        <f t="shared" si="111"/>
      </c>
      <c r="AZ227" s="70">
        <f>_xlfn.IFERROR(IF(Simulador!$U$29=1,0,IF($AT227&lt;=0.01,0,$AT227*Simulador!$AA$42)),0)+_xlfn.IFERROR(IF(Simulador!$U$29=1,0,IF($AT227&lt;=0.01,0,IF(Simulador!$D$22&gt;0,Simulador!$D$22,Simulador!$O$24)*Simulador!$AA$43)),0)</f>
        <v>0</v>
      </c>
      <c r="BA227" s="73"/>
      <c r="BB227" s="70">
        <f t="shared" si="112"/>
        <v>0</v>
      </c>
      <c r="BC227">
        <f t="shared" si="122"/>
        <v>0</v>
      </c>
      <c r="BD227" s="431">
        <f t="shared" si="123"/>
      </c>
      <c r="BE227" s="432">
        <f t="shared" si="124"/>
        <v>0</v>
      </c>
      <c r="BF227" s="69">
        <v>213</v>
      </c>
      <c r="BG227" s="38"/>
      <c r="BJ227" s="69"/>
      <c r="BM227" s="432"/>
    </row>
    <row r="228" spans="1:65" ht="12">
      <c r="A228" s="531">
        <v>214</v>
      </c>
      <c r="B228" s="106">
        <f t="shared" si="125"/>
        <v>0</v>
      </c>
      <c r="C228" s="106"/>
      <c r="D228" s="107">
        <f>IF(B228+F228-D227&lt;=0,B228+F228,IF(AND(OR(Simulador!$U$38=2,Simulador!$U$38=7),J227=0),D227*(1+AA228),IF($AE$3=2,B228*AQ228,D227*(1+AA228))))</f>
        <v>0</v>
      </c>
      <c r="E228" s="107"/>
      <c r="F228" s="107">
        <f t="shared" si="106"/>
        <v>0</v>
      </c>
      <c r="G228" s="107"/>
      <c r="H228" s="107">
        <f t="shared" si="126"/>
        <v>0</v>
      </c>
      <c r="I228" s="108"/>
      <c r="J228" s="109"/>
      <c r="K228" s="108"/>
      <c r="L228" s="107">
        <f>IF(Simulador!$T$40=1,0,J228*Simulador!$W$38*1.16)</f>
        <v>0</v>
      </c>
      <c r="M228" s="107"/>
      <c r="N228" s="110">
        <f>IF(B228-H228=0,0,N226)</f>
        <v>0</v>
      </c>
      <c r="O228" s="13"/>
      <c r="P228" s="664">
        <f t="shared" si="107"/>
      </c>
      <c r="Q228" s="3"/>
      <c r="R228" s="107">
        <f t="shared" si="113"/>
        <v>0</v>
      </c>
      <c r="S228" s="107"/>
      <c r="T228" s="107">
        <f>_xlfn.IFERROR(IF(Simulador!$U$29=1,0,IF($B228&lt;=0,0,$B228*Simulador!$AA$42)),0)</f>
        <v>0</v>
      </c>
      <c r="U228" s="107"/>
      <c r="V228" s="107">
        <f>_xlfn.IFERROR(IF(Simulador!$U$29=1,0,IF($B228&lt;=0,0,IF(Simulador!$D$22&gt;0,Simulador!$D$22,Simulador!$O$24)*Simulador!$AA$43)),0)</f>
        <v>0</v>
      </c>
      <c r="W228" s="107"/>
      <c r="X228" s="107"/>
      <c r="Y228" s="107">
        <f t="shared" si="108"/>
        <v>0</v>
      </c>
      <c r="Z228" s="14"/>
      <c r="AA228" s="19"/>
      <c r="AB228" s="24"/>
      <c r="AC228" s="303">
        <v>17</v>
      </c>
      <c r="AD228" s="302">
        <v>10</v>
      </c>
      <c r="AE228" s="400">
        <f t="shared" si="114"/>
        <v>0</v>
      </c>
      <c r="AF228" s="279">
        <f t="shared" si="115"/>
        <v>0</v>
      </c>
      <c r="AG228" s="279">
        <f t="shared" si="116"/>
        <v>0</v>
      </c>
      <c r="AH228" s="418">
        <f t="shared" si="117"/>
        <v>0</v>
      </c>
      <c r="AI228" s="296">
        <f>IF(Simulador!$T$67=1,'Tabla de amortizacion'!AJ228,'Tabla de amortizacion'!AR228)</f>
        <v>0.09</v>
      </c>
      <c r="AJ228" s="297">
        <f t="shared" si="128"/>
        <v>0.09</v>
      </c>
      <c r="AK228" s="298">
        <f t="shared" si="118"/>
        <v>0</v>
      </c>
      <c r="AL228" s="298"/>
      <c r="AM228" s="304"/>
      <c r="AN228" s="279"/>
      <c r="AO228" s="520">
        <f t="shared" si="104"/>
        <v>0.092</v>
      </c>
      <c r="AP228" s="299">
        <v>0</v>
      </c>
      <c r="AQ228" s="414">
        <f t="shared" si="119"/>
        <v>0</v>
      </c>
      <c r="AR228" s="300">
        <f>IF(AND(Simulador!$T$67=2,Simulador!$T$61=1),AL228,IF(AND(Simulador!$T$67=2,Simulador!$T$61=2),AM228,IF(AND(Simulador!$T$67=2,Simulador!$T$61=3),AN228,AO228)))</f>
        <v>0.092</v>
      </c>
      <c r="AS228" s="281"/>
      <c r="AT228" s="70">
        <f t="shared" si="129"/>
        <v>0</v>
      </c>
      <c r="AU228" s="70">
        <f t="shared" si="120"/>
        <v>0</v>
      </c>
      <c r="AV228" s="71">
        <f t="shared" si="109"/>
        <v>0</v>
      </c>
      <c r="AW228" s="70">
        <f t="shared" si="110"/>
        <v>0</v>
      </c>
      <c r="AX228" s="70">
        <f t="shared" si="121"/>
        <v>0</v>
      </c>
      <c r="AY228" s="72">
        <f t="shared" si="111"/>
      </c>
      <c r="AZ228" s="70">
        <f>_xlfn.IFERROR(IF(Simulador!$U$29=1,0,IF($AT228&lt;=0.01,0,$AT228*Simulador!$AA$42)),0)+_xlfn.IFERROR(IF(Simulador!$U$29=1,0,IF($AT228&lt;=0.01,0,IF(Simulador!$D$22&gt;0,Simulador!$D$22,Simulador!$O$24)*Simulador!$AA$43)),0)</f>
        <v>0</v>
      </c>
      <c r="BA228" s="73"/>
      <c r="BB228" s="70">
        <f t="shared" si="112"/>
        <v>0</v>
      </c>
      <c r="BC228">
        <f t="shared" si="122"/>
        <v>0</v>
      </c>
      <c r="BD228" s="431">
        <f t="shared" si="123"/>
      </c>
      <c r="BE228" s="432">
        <f t="shared" si="124"/>
        <v>0</v>
      </c>
      <c r="BF228" s="69">
        <v>214</v>
      </c>
      <c r="BG228" s="38"/>
      <c r="BJ228" s="69"/>
      <c r="BM228" s="432"/>
    </row>
    <row r="229" spans="1:65" ht="12">
      <c r="A229" s="531">
        <v>215</v>
      </c>
      <c r="B229" s="106">
        <f t="shared" si="125"/>
        <v>0</v>
      </c>
      <c r="C229" s="106"/>
      <c r="D229" s="107">
        <f>IF(B229+F229-D228&lt;=0,B229+F229,IF(AND(OR(Simulador!$U$38=2,Simulador!$U$38=7),J228=0),D228*(1+AA229),IF($AE$3=2,B229*AQ229,D228*(1+AA229))))</f>
        <v>0</v>
      </c>
      <c r="E229" s="107"/>
      <c r="F229" s="107">
        <f t="shared" si="106"/>
        <v>0</v>
      </c>
      <c r="G229" s="107"/>
      <c r="H229" s="107">
        <f t="shared" si="126"/>
        <v>0</v>
      </c>
      <c r="I229" s="108"/>
      <c r="J229" s="109"/>
      <c r="K229" s="108"/>
      <c r="L229" s="107">
        <f>IF(Simulador!$T$40=1,0,J229*Simulador!$W$38*1.16)</f>
        <v>0</v>
      </c>
      <c r="M229" s="107"/>
      <c r="N229" s="111"/>
      <c r="O229" s="13"/>
      <c r="P229" s="664">
        <f t="shared" si="107"/>
      </c>
      <c r="Q229" s="3"/>
      <c r="R229" s="107">
        <f t="shared" si="113"/>
        <v>0</v>
      </c>
      <c r="S229" s="107"/>
      <c r="T229" s="107">
        <f>_xlfn.IFERROR(IF(Simulador!$U$29=1,0,IF($B229&lt;=0,0,$B229*Simulador!$AA$42)),0)</f>
        <v>0</v>
      </c>
      <c r="U229" s="107"/>
      <c r="V229" s="107">
        <f>_xlfn.IFERROR(IF(Simulador!$U$29=1,0,IF($B229&lt;=0,0,IF(Simulador!$D$22&gt;0,Simulador!$D$22,Simulador!$O$24)*Simulador!$AA$43)),0)</f>
        <v>0</v>
      </c>
      <c r="W229" s="107"/>
      <c r="X229" s="107"/>
      <c r="Y229" s="107">
        <f t="shared" si="108"/>
        <v>0</v>
      </c>
      <c r="Z229" s="14"/>
      <c r="AA229" s="19"/>
      <c r="AB229" s="24"/>
      <c r="AC229" s="303">
        <v>17</v>
      </c>
      <c r="AD229" s="295">
        <v>11</v>
      </c>
      <c r="AE229" s="400">
        <f t="shared" si="114"/>
        <v>0</v>
      </c>
      <c r="AF229" s="279">
        <f t="shared" si="115"/>
        <v>0</v>
      </c>
      <c r="AG229" s="279">
        <f t="shared" si="116"/>
        <v>0</v>
      </c>
      <c r="AH229" s="418">
        <f t="shared" si="117"/>
        <v>0</v>
      </c>
      <c r="AI229" s="296">
        <f>IF(Simulador!$T$67=1,'Tabla de amortizacion'!AJ229,'Tabla de amortizacion'!AR229)</f>
        <v>0.09</v>
      </c>
      <c r="AJ229" s="297">
        <f t="shared" si="128"/>
        <v>0.09</v>
      </c>
      <c r="AK229" s="298">
        <f t="shared" si="118"/>
        <v>0</v>
      </c>
      <c r="AL229" s="298"/>
      <c r="AM229" s="304"/>
      <c r="AN229" s="279"/>
      <c r="AO229" s="520">
        <f t="shared" si="104"/>
        <v>0.092</v>
      </c>
      <c r="AP229" s="299">
        <v>0</v>
      </c>
      <c r="AQ229" s="414">
        <f t="shared" si="119"/>
        <v>0</v>
      </c>
      <c r="AR229" s="300">
        <f>IF(AND(Simulador!$T$67=2,Simulador!$T$61=1),AL229,IF(AND(Simulador!$T$67=2,Simulador!$T$61=2),AM229,IF(AND(Simulador!$T$67=2,Simulador!$T$61=3),AN229,AO229)))</f>
        <v>0.092</v>
      </c>
      <c r="AS229" s="281"/>
      <c r="AT229" s="70">
        <f t="shared" si="129"/>
        <v>0</v>
      </c>
      <c r="AU229" s="70">
        <f t="shared" si="120"/>
        <v>0</v>
      </c>
      <c r="AV229" s="71">
        <f t="shared" si="109"/>
        <v>0</v>
      </c>
      <c r="AW229" s="70">
        <f t="shared" si="110"/>
        <v>0</v>
      </c>
      <c r="AX229" s="70">
        <f t="shared" si="121"/>
        <v>0</v>
      </c>
      <c r="AY229" s="72">
        <f t="shared" si="111"/>
      </c>
      <c r="AZ229" s="70">
        <f>_xlfn.IFERROR(IF(Simulador!$U$29=1,0,IF($AT229&lt;=0.01,0,$AT229*Simulador!$AA$42)),0)+_xlfn.IFERROR(IF(Simulador!$U$29=1,0,IF($AT229&lt;=0.01,0,IF(Simulador!$D$22&gt;0,Simulador!$D$22,Simulador!$O$24)*Simulador!$AA$43)),0)</f>
        <v>0</v>
      </c>
      <c r="BA229" s="73"/>
      <c r="BB229" s="70">
        <f t="shared" si="112"/>
        <v>0</v>
      </c>
      <c r="BC229">
        <f t="shared" si="122"/>
        <v>0</v>
      </c>
      <c r="BD229" s="431">
        <f t="shared" si="123"/>
      </c>
      <c r="BE229" s="432">
        <f t="shared" si="124"/>
        <v>0</v>
      </c>
      <c r="BF229" s="69">
        <v>215</v>
      </c>
      <c r="BG229" s="38"/>
      <c r="BJ229" s="69"/>
      <c r="BM229" s="432"/>
    </row>
    <row r="230" spans="1:65" ht="12">
      <c r="A230" s="531">
        <v>216</v>
      </c>
      <c r="B230" s="106">
        <f t="shared" si="125"/>
        <v>0</v>
      </c>
      <c r="C230" s="106"/>
      <c r="D230" s="107">
        <f>IF(B230+F230-D229&lt;=0,B230+F230,IF(AND(OR(Simulador!$U$38=2,Simulador!$U$38=7),J229=0),D229*(1+AA230),IF($AE$3=2,B230*AQ230,D229*(1+AA230))))</f>
        <v>0</v>
      </c>
      <c r="E230" s="107"/>
      <c r="F230" s="107">
        <f t="shared" si="106"/>
        <v>0</v>
      </c>
      <c r="G230" s="107"/>
      <c r="H230" s="107">
        <f t="shared" si="126"/>
        <v>0</v>
      </c>
      <c r="I230" s="108"/>
      <c r="J230" s="109"/>
      <c r="K230" s="108"/>
      <c r="L230" s="107">
        <f>IF(Simulador!$T$40=1,0,J230*Simulador!$W$38*1.16)</f>
        <v>0</v>
      </c>
      <c r="M230" s="107"/>
      <c r="N230" s="110">
        <f>IF(B230-H230=0,0,N228)</f>
        <v>0</v>
      </c>
      <c r="O230" s="13"/>
      <c r="P230" s="664">
        <f t="shared" si="107"/>
      </c>
      <c r="Q230" s="3"/>
      <c r="R230" s="107">
        <f t="shared" si="113"/>
        <v>0</v>
      </c>
      <c r="S230" s="107"/>
      <c r="T230" s="107">
        <f>_xlfn.IFERROR(IF(Simulador!$U$29=1,0,IF($B230&lt;=0,0,$B230*Simulador!$AA$42)),0)</f>
        <v>0</v>
      </c>
      <c r="U230" s="107"/>
      <c r="V230" s="107">
        <f>_xlfn.IFERROR(IF(Simulador!$U$29=1,0,IF($B230&lt;=0,0,IF(Simulador!$D$22&gt;0,Simulador!$D$22,Simulador!$O$24)*Simulador!$AA$43)),0)</f>
        <v>0</v>
      </c>
      <c r="W230" s="107"/>
      <c r="X230" s="107"/>
      <c r="Y230" s="107">
        <f t="shared" si="108"/>
        <v>0</v>
      </c>
      <c r="Z230" s="14"/>
      <c r="AA230" s="19"/>
      <c r="AB230" s="24"/>
      <c r="AC230" s="303">
        <v>18</v>
      </c>
      <c r="AD230" s="295">
        <v>0</v>
      </c>
      <c r="AE230" s="400">
        <f t="shared" si="114"/>
        <v>0</v>
      </c>
      <c r="AF230" s="279">
        <f t="shared" si="115"/>
        <v>0</v>
      </c>
      <c r="AG230" s="279">
        <f t="shared" si="116"/>
        <v>0</v>
      </c>
      <c r="AH230" s="418">
        <f t="shared" si="117"/>
        <v>0</v>
      </c>
      <c r="AI230" s="296">
        <f>IF(Simulador!$T$67=1,'Tabla de amortizacion'!AJ230,'Tabla de amortizacion'!AR230)</f>
        <v>0.09</v>
      </c>
      <c r="AJ230" s="297">
        <f t="shared" si="128"/>
        <v>0.09</v>
      </c>
      <c r="AK230" s="298">
        <f t="shared" si="118"/>
        <v>0</v>
      </c>
      <c r="AL230" s="298"/>
      <c r="AM230" s="304"/>
      <c r="AN230" s="279"/>
      <c r="AO230" s="520">
        <f t="shared" si="104"/>
        <v>0.092</v>
      </c>
      <c r="AP230" s="299">
        <v>0</v>
      </c>
      <c r="AQ230" s="414">
        <f t="shared" si="119"/>
        <v>0</v>
      </c>
      <c r="AR230" s="300">
        <f>IF(AND(Simulador!$T$67=2,Simulador!$T$61=1),AL230,IF(AND(Simulador!$T$67=2,Simulador!$T$61=2),AM230,IF(AND(Simulador!$T$67=2,Simulador!$T$61=3),AN230,AO230)))</f>
        <v>0.092</v>
      </c>
      <c r="AS230" s="281"/>
      <c r="AT230" s="70">
        <f t="shared" si="129"/>
        <v>0</v>
      </c>
      <c r="AU230" s="70">
        <f t="shared" si="120"/>
        <v>0</v>
      </c>
      <c r="AV230" s="71">
        <f t="shared" si="109"/>
        <v>0</v>
      </c>
      <c r="AW230" s="70">
        <f t="shared" si="110"/>
        <v>0</v>
      </c>
      <c r="AX230" s="70">
        <f t="shared" si="121"/>
        <v>0</v>
      </c>
      <c r="AY230" s="72">
        <f t="shared" si="111"/>
      </c>
      <c r="AZ230" s="70">
        <f>_xlfn.IFERROR(IF(Simulador!$U$29=1,0,IF($AT230&lt;=0.01,0,$AT230*Simulador!$AA$42)),0)+_xlfn.IFERROR(IF(Simulador!$U$29=1,0,IF($AT230&lt;=0.01,0,IF(Simulador!$D$22&gt;0,Simulador!$D$22,Simulador!$O$24)*Simulador!$AA$43)),0)</f>
        <v>0</v>
      </c>
      <c r="BA230" s="73"/>
      <c r="BB230" s="70">
        <f t="shared" si="112"/>
        <v>0</v>
      </c>
      <c r="BC230">
        <f t="shared" si="122"/>
        <v>0</v>
      </c>
      <c r="BD230" s="431">
        <f t="shared" si="123"/>
      </c>
      <c r="BE230" s="432">
        <f t="shared" si="124"/>
        <v>0</v>
      </c>
      <c r="BF230" s="69">
        <v>216</v>
      </c>
      <c r="BG230" s="38"/>
      <c r="BJ230" s="69"/>
      <c r="BM230" s="432"/>
    </row>
    <row r="231" spans="1:65" ht="12">
      <c r="A231" s="531">
        <v>217</v>
      </c>
      <c r="B231" s="106">
        <f t="shared" si="125"/>
        <v>0</v>
      </c>
      <c r="C231" s="106"/>
      <c r="D231" s="107">
        <f>IF(B231+F231-D230&lt;=0,B231+F231,IF(AND(OR(Simulador!$U$38=2,Simulador!$U$38=7),J230=0),D230*(1+AA231),IF($AE$3=2,B231*AQ231,D230*(1+AA231))))</f>
        <v>0</v>
      </c>
      <c r="E231" s="107"/>
      <c r="F231" s="107">
        <f t="shared" si="106"/>
        <v>0</v>
      </c>
      <c r="G231" s="107"/>
      <c r="H231" s="107">
        <f t="shared" si="126"/>
        <v>0</v>
      </c>
      <c r="I231" s="108"/>
      <c r="J231" s="109"/>
      <c r="K231" s="108"/>
      <c r="L231" s="107">
        <f>IF(Simulador!$T$40=1,0,J231*Simulador!$W$38*1.16)</f>
        <v>0</v>
      </c>
      <c r="M231" s="107"/>
      <c r="N231" s="111"/>
      <c r="O231" s="13"/>
      <c r="P231" s="664">
        <f t="shared" si="107"/>
      </c>
      <c r="Q231" s="3"/>
      <c r="R231" s="107">
        <f t="shared" si="113"/>
        <v>0</v>
      </c>
      <c r="S231" s="107"/>
      <c r="T231" s="107">
        <f>_xlfn.IFERROR(IF(Simulador!$U$29=1,0,IF($B231&lt;=0,0,$B231*Simulador!$AA$42)),0)</f>
        <v>0</v>
      </c>
      <c r="U231" s="107"/>
      <c r="V231" s="107">
        <f>_xlfn.IFERROR(IF(Simulador!$U$29=1,0,IF($B231&lt;=0,0,IF(Simulador!$D$22&gt;0,Simulador!$D$22,Simulador!$O$24)*Simulador!$AA$43)),0)</f>
        <v>0</v>
      </c>
      <c r="W231" s="107"/>
      <c r="X231" s="107"/>
      <c r="Y231" s="107">
        <f t="shared" si="108"/>
        <v>0</v>
      </c>
      <c r="Z231" s="14"/>
      <c r="AA231" s="19">
        <f>IF(B231&lt;=0,0,Simulador!$I$42)</f>
        <v>0</v>
      </c>
      <c r="AB231" s="24"/>
      <c r="AC231" s="303">
        <v>18</v>
      </c>
      <c r="AD231" s="295">
        <v>1</v>
      </c>
      <c r="AE231" s="400">
        <f t="shared" si="114"/>
        <v>0</v>
      </c>
      <c r="AF231" s="279">
        <f t="shared" si="115"/>
        <v>0</v>
      </c>
      <c r="AG231" s="279">
        <f t="shared" si="116"/>
        <v>0</v>
      </c>
      <c r="AH231" s="418">
        <f t="shared" si="117"/>
        <v>0</v>
      </c>
      <c r="AI231" s="296">
        <f>IF(Simulador!$T$67=1,'Tabla de amortizacion'!AJ231,'Tabla de amortizacion'!AR231)</f>
        <v>0.09</v>
      </c>
      <c r="AJ231" s="297">
        <f>IF(AJ230=$AM$4,AJ230,IF(AJ230-0.25%&lt;=$AM$4,$AM$4,AJ230-0.25%))</f>
        <v>0.09</v>
      </c>
      <c r="AK231" s="298">
        <f t="shared" si="118"/>
        <v>0</v>
      </c>
      <c r="AL231" s="298"/>
      <c r="AM231" s="304"/>
      <c r="AN231" s="279"/>
      <c r="AO231" s="520">
        <f t="shared" si="104"/>
        <v>0.092</v>
      </c>
      <c r="AP231" s="299">
        <v>0</v>
      </c>
      <c r="AQ231" s="414">
        <f t="shared" si="119"/>
        <v>0</v>
      </c>
      <c r="AR231" s="300">
        <f>IF(AND(Simulador!$T$67=2,Simulador!$T$61=1),AL231,IF(AND(Simulador!$T$67=2,Simulador!$T$61=2),AM231,IF(AND(Simulador!$T$67=2,Simulador!$T$61=3),AN231,AO231)))</f>
        <v>0.092</v>
      </c>
      <c r="AS231" s="281"/>
      <c r="AT231" s="70">
        <f t="shared" si="129"/>
        <v>0</v>
      </c>
      <c r="AU231" s="70">
        <f t="shared" si="120"/>
        <v>0</v>
      </c>
      <c r="AV231" s="71">
        <f t="shared" si="109"/>
        <v>0</v>
      </c>
      <c r="AW231" s="70">
        <f t="shared" si="110"/>
        <v>0</v>
      </c>
      <c r="AX231" s="70">
        <f t="shared" si="121"/>
        <v>0</v>
      </c>
      <c r="AY231" s="72">
        <f t="shared" si="111"/>
      </c>
      <c r="AZ231" s="70">
        <f>_xlfn.IFERROR(IF(Simulador!$U$29=1,0,IF($AT231&lt;=0.01,0,$AT231*Simulador!$AA$42)),0)+_xlfn.IFERROR(IF(Simulador!$U$29=1,0,IF($AT231&lt;=0.01,0,IF(Simulador!$D$22&gt;0,Simulador!$D$22,Simulador!$O$24)*Simulador!$AA$43)),0)</f>
        <v>0</v>
      </c>
      <c r="BA231" s="73">
        <f>IF(AT231&lt;=0,0,$BA$27)</f>
        <v>0</v>
      </c>
      <c r="BB231" s="70">
        <f t="shared" si="112"/>
        <v>0</v>
      </c>
      <c r="BC231">
        <f t="shared" si="122"/>
        <v>0</v>
      </c>
      <c r="BD231" s="431">
        <f t="shared" si="123"/>
      </c>
      <c r="BE231" s="432">
        <f t="shared" si="124"/>
        <v>0</v>
      </c>
      <c r="BF231" s="69">
        <v>217</v>
      </c>
      <c r="BG231" s="38"/>
      <c r="BJ231" s="69"/>
      <c r="BM231" s="432"/>
    </row>
    <row r="232" spans="1:65" ht="12">
      <c r="A232" s="531">
        <v>218</v>
      </c>
      <c r="B232" s="106">
        <f t="shared" si="125"/>
        <v>0</v>
      </c>
      <c r="C232" s="106"/>
      <c r="D232" s="107">
        <f>IF(B232+F232-D231&lt;=0,B232+F232,IF(AND(OR(Simulador!$U$38=2,Simulador!$U$38=7),J231=0),D231*(1+AA232),IF($AE$3=2,B232*AQ232,D231*(1+AA232))))</f>
        <v>0</v>
      </c>
      <c r="E232" s="107"/>
      <c r="F232" s="107">
        <f t="shared" si="106"/>
        <v>0</v>
      </c>
      <c r="G232" s="107"/>
      <c r="H232" s="107">
        <f t="shared" si="126"/>
        <v>0</v>
      </c>
      <c r="I232" s="108"/>
      <c r="J232" s="109"/>
      <c r="K232" s="108"/>
      <c r="L232" s="107">
        <f>IF(Simulador!$T$40=1,0,J232*Simulador!$W$38*1.16)</f>
        <v>0</v>
      </c>
      <c r="M232" s="107"/>
      <c r="N232" s="110">
        <f>IF(B232-H232=0,0,N230*(1+(Simulador!$AF$76)))</f>
        <v>0</v>
      </c>
      <c r="O232" s="13"/>
      <c r="P232" s="664">
        <f t="shared" si="107"/>
      </c>
      <c r="Q232" s="3"/>
      <c r="R232" s="107">
        <f t="shared" si="113"/>
        <v>0</v>
      </c>
      <c r="S232" s="107"/>
      <c r="T232" s="107">
        <f>_xlfn.IFERROR(IF(Simulador!$U$29=1,0,IF($B232&lt;=0,0,$B232*Simulador!$AA$42)),0)</f>
        <v>0</v>
      </c>
      <c r="U232" s="107"/>
      <c r="V232" s="107">
        <f>_xlfn.IFERROR(IF(Simulador!$U$29=1,0,IF($B232&lt;=0,0,IF(Simulador!$D$22&gt;0,Simulador!$D$22,Simulador!$O$24)*Simulador!$AA$43)),0)</f>
        <v>0</v>
      </c>
      <c r="W232" s="107"/>
      <c r="X232" s="107"/>
      <c r="Y232" s="107">
        <f t="shared" si="108"/>
        <v>0</v>
      </c>
      <c r="Z232" s="14"/>
      <c r="AA232" s="19"/>
      <c r="AB232" s="24"/>
      <c r="AC232" s="303">
        <v>18</v>
      </c>
      <c r="AD232" s="301">
        <v>2</v>
      </c>
      <c r="AE232" s="400">
        <f t="shared" si="114"/>
        <v>0</v>
      </c>
      <c r="AF232" s="279">
        <f t="shared" si="115"/>
        <v>0</v>
      </c>
      <c r="AG232" s="279">
        <f t="shared" si="116"/>
        <v>0</v>
      </c>
      <c r="AH232" s="418">
        <f t="shared" si="117"/>
        <v>0</v>
      </c>
      <c r="AI232" s="296">
        <f>IF(Simulador!$T$67=1,'Tabla de amortizacion'!AJ232,'Tabla de amortizacion'!AR232)</f>
        <v>0.09</v>
      </c>
      <c r="AJ232" s="297">
        <f>AJ231</f>
        <v>0.09</v>
      </c>
      <c r="AK232" s="298">
        <f t="shared" si="118"/>
        <v>0</v>
      </c>
      <c r="AL232" s="298"/>
      <c r="AM232" s="304"/>
      <c r="AN232" s="279"/>
      <c r="AO232" s="520">
        <f t="shared" si="104"/>
        <v>0.092</v>
      </c>
      <c r="AP232" s="299">
        <v>0</v>
      </c>
      <c r="AQ232" s="414">
        <f t="shared" si="119"/>
        <v>0</v>
      </c>
      <c r="AR232" s="300">
        <f>IF(AND(Simulador!$T$67=2,Simulador!$T$61=1),AL232,IF(AND(Simulador!$T$67=2,Simulador!$T$61=2),AM232,IF(AND(Simulador!$T$67=2,Simulador!$T$61=3),AN232,AO232)))</f>
        <v>0.092</v>
      </c>
      <c r="AS232" s="281"/>
      <c r="AT232" s="70">
        <f t="shared" si="129"/>
        <v>0</v>
      </c>
      <c r="AU232" s="70">
        <f t="shared" si="120"/>
        <v>0</v>
      </c>
      <c r="AV232" s="71">
        <f t="shared" si="109"/>
        <v>0</v>
      </c>
      <c r="AW232" s="70">
        <f t="shared" si="110"/>
        <v>0</v>
      </c>
      <c r="AX232" s="70">
        <f t="shared" si="121"/>
        <v>0</v>
      </c>
      <c r="AY232" s="72">
        <f t="shared" si="111"/>
      </c>
      <c r="AZ232" s="70">
        <f>_xlfn.IFERROR(IF(Simulador!$U$29=1,0,IF($AT232&lt;=0.01,0,$AT232*Simulador!$AA$42)),0)+_xlfn.IFERROR(IF(Simulador!$U$29=1,0,IF($AT232&lt;=0.01,0,IF(Simulador!$D$22&gt;0,Simulador!$D$22,Simulador!$O$24)*Simulador!$AA$43)),0)</f>
        <v>0</v>
      </c>
      <c r="BA232" s="73"/>
      <c r="BB232" s="70">
        <f t="shared" si="112"/>
        <v>0</v>
      </c>
      <c r="BC232">
        <f t="shared" si="122"/>
        <v>0</v>
      </c>
      <c r="BD232" s="431">
        <f t="shared" si="123"/>
      </c>
      <c r="BE232" s="432">
        <f t="shared" si="124"/>
        <v>0</v>
      </c>
      <c r="BF232" s="69">
        <v>218</v>
      </c>
      <c r="BG232" s="38"/>
      <c r="BJ232" s="69"/>
      <c r="BM232" s="432"/>
    </row>
    <row r="233" spans="1:65" ht="12">
      <c r="A233" s="531">
        <v>219</v>
      </c>
      <c r="B233" s="106">
        <f t="shared" si="125"/>
        <v>0</v>
      </c>
      <c r="C233" s="106"/>
      <c r="D233" s="107">
        <f>IF(B233+F233-D232&lt;=0,B233+F233,IF(AND(OR(Simulador!$U$38=2,Simulador!$U$38=7),J232=0),D232*(1+AA233),IF($AE$3=2,B233*AQ233,D232*(1+AA233))))</f>
        <v>0</v>
      </c>
      <c r="E233" s="107"/>
      <c r="F233" s="107">
        <f t="shared" si="106"/>
        <v>0</v>
      </c>
      <c r="G233" s="107"/>
      <c r="H233" s="107">
        <f t="shared" si="126"/>
        <v>0</v>
      </c>
      <c r="I233" s="108"/>
      <c r="J233" s="109"/>
      <c r="K233" s="108"/>
      <c r="L233" s="107">
        <f>IF(Simulador!$T$40=1,0,J233*Simulador!$W$38*1.16)</f>
        <v>0</v>
      </c>
      <c r="M233" s="107"/>
      <c r="N233" s="111"/>
      <c r="O233" s="13"/>
      <c r="P233" s="664">
        <f t="shared" si="107"/>
      </c>
      <c r="Q233" s="3"/>
      <c r="R233" s="107">
        <f t="shared" si="113"/>
        <v>0</v>
      </c>
      <c r="S233" s="107"/>
      <c r="T233" s="107">
        <f>_xlfn.IFERROR(IF(Simulador!$U$29=1,0,IF($B233&lt;=0,0,$B233*Simulador!$AA$42)),0)</f>
        <v>0</v>
      </c>
      <c r="U233" s="107"/>
      <c r="V233" s="107">
        <f>_xlfn.IFERROR(IF(Simulador!$U$29=1,0,IF($B233&lt;=0,0,IF(Simulador!$D$22&gt;0,Simulador!$D$22,Simulador!$O$24)*Simulador!$AA$43)),0)</f>
        <v>0</v>
      </c>
      <c r="W233" s="107"/>
      <c r="X233" s="107"/>
      <c r="Y233" s="107">
        <f t="shared" si="108"/>
        <v>0</v>
      </c>
      <c r="Z233" s="14"/>
      <c r="AA233" s="19"/>
      <c r="AB233" s="24"/>
      <c r="AC233" s="303">
        <v>18</v>
      </c>
      <c r="AD233" s="301">
        <v>3</v>
      </c>
      <c r="AE233" s="400">
        <f t="shared" si="114"/>
        <v>0</v>
      </c>
      <c r="AF233" s="279">
        <f t="shared" si="115"/>
        <v>0</v>
      </c>
      <c r="AG233" s="279">
        <f t="shared" si="116"/>
        <v>0</v>
      </c>
      <c r="AH233" s="418">
        <f t="shared" si="117"/>
        <v>0</v>
      </c>
      <c r="AI233" s="296">
        <f>IF(Simulador!$T$67=1,'Tabla de amortizacion'!AJ233,'Tabla de amortizacion'!AR233)</f>
        <v>0.09</v>
      </c>
      <c r="AJ233" s="297">
        <f aca="true" t="shared" si="130" ref="AJ233:AJ242">AJ232</f>
        <v>0.09</v>
      </c>
      <c r="AK233" s="298">
        <f t="shared" si="118"/>
        <v>0</v>
      </c>
      <c r="AL233" s="298"/>
      <c r="AM233" s="304"/>
      <c r="AN233" s="279"/>
      <c r="AO233" s="520">
        <f t="shared" si="104"/>
        <v>0.092</v>
      </c>
      <c r="AP233" s="299">
        <v>0</v>
      </c>
      <c r="AQ233" s="414">
        <f t="shared" si="119"/>
        <v>0</v>
      </c>
      <c r="AR233" s="300">
        <f>IF(AND(Simulador!$T$67=2,Simulador!$T$61=1),AL233,IF(AND(Simulador!$T$67=2,Simulador!$T$61=2),AM233,IF(AND(Simulador!$T$67=2,Simulador!$T$61=3),AN233,AO233)))</f>
        <v>0.092</v>
      </c>
      <c r="AS233" s="281"/>
      <c r="AT233" s="70">
        <f t="shared" si="129"/>
        <v>0</v>
      </c>
      <c r="AU233" s="70">
        <f t="shared" si="120"/>
        <v>0</v>
      </c>
      <c r="AV233" s="71">
        <f t="shared" si="109"/>
        <v>0</v>
      </c>
      <c r="AW233" s="70">
        <f t="shared" si="110"/>
        <v>0</v>
      </c>
      <c r="AX233" s="70">
        <f t="shared" si="121"/>
        <v>0</v>
      </c>
      <c r="AY233" s="72">
        <f t="shared" si="111"/>
      </c>
      <c r="AZ233" s="70">
        <f>_xlfn.IFERROR(IF(Simulador!$U$29=1,0,IF($AT233&lt;=0.01,0,$AT233*Simulador!$AA$42)),0)+_xlfn.IFERROR(IF(Simulador!$U$29=1,0,IF($AT233&lt;=0.01,0,IF(Simulador!$D$22&gt;0,Simulador!$D$22,Simulador!$O$24)*Simulador!$AA$43)),0)</f>
        <v>0</v>
      </c>
      <c r="BA233" s="73"/>
      <c r="BB233" s="70">
        <f t="shared" si="112"/>
        <v>0</v>
      </c>
      <c r="BC233">
        <f t="shared" si="122"/>
        <v>0</v>
      </c>
      <c r="BD233" s="431">
        <f t="shared" si="123"/>
      </c>
      <c r="BE233" s="432">
        <f t="shared" si="124"/>
        <v>0</v>
      </c>
      <c r="BF233" s="69">
        <v>219</v>
      </c>
      <c r="BG233" s="38"/>
      <c r="BJ233" s="69"/>
      <c r="BM233" s="432"/>
    </row>
    <row r="234" spans="1:65" ht="12">
      <c r="A234" s="531">
        <v>220</v>
      </c>
      <c r="B234" s="106">
        <f t="shared" si="125"/>
        <v>0</v>
      </c>
      <c r="C234" s="106"/>
      <c r="D234" s="107">
        <f>IF(B234+F234-D233&lt;=0,B234+F234,IF(AND(OR(Simulador!$U$38=2,Simulador!$U$38=7),J233=0),D233*(1+AA234),IF($AE$3=2,B234*AQ234,D233*(1+AA234))))</f>
        <v>0</v>
      </c>
      <c r="E234" s="107"/>
      <c r="F234" s="107">
        <f t="shared" si="106"/>
        <v>0</v>
      </c>
      <c r="G234" s="107"/>
      <c r="H234" s="107">
        <f t="shared" si="126"/>
        <v>0</v>
      </c>
      <c r="I234" s="108"/>
      <c r="J234" s="109"/>
      <c r="K234" s="108"/>
      <c r="L234" s="107">
        <f>IF(Simulador!$T$40=1,0,J234*Simulador!$W$38*1.16)</f>
        <v>0</v>
      </c>
      <c r="M234" s="107"/>
      <c r="N234" s="110">
        <f>IF(B234-H234=0,0,N232)</f>
        <v>0</v>
      </c>
      <c r="O234" s="13"/>
      <c r="P234" s="664">
        <f t="shared" si="107"/>
      </c>
      <c r="Q234" s="3"/>
      <c r="R234" s="107">
        <f t="shared" si="113"/>
        <v>0</v>
      </c>
      <c r="S234" s="107"/>
      <c r="T234" s="107">
        <f>_xlfn.IFERROR(IF(Simulador!$U$29=1,0,IF($B234&lt;=0,0,$B234*Simulador!$AA$42)),0)</f>
        <v>0</v>
      </c>
      <c r="U234" s="107"/>
      <c r="V234" s="107">
        <f>_xlfn.IFERROR(IF(Simulador!$U$29=1,0,IF($B234&lt;=0,0,IF(Simulador!$D$22&gt;0,Simulador!$D$22,Simulador!$O$24)*Simulador!$AA$43)),0)</f>
        <v>0</v>
      </c>
      <c r="W234" s="107"/>
      <c r="X234" s="107"/>
      <c r="Y234" s="107">
        <f t="shared" si="108"/>
        <v>0</v>
      </c>
      <c r="Z234" s="14"/>
      <c r="AA234" s="19"/>
      <c r="AB234" s="24"/>
      <c r="AC234" s="303">
        <v>18</v>
      </c>
      <c r="AD234" s="295">
        <v>4</v>
      </c>
      <c r="AE234" s="400">
        <f t="shared" si="114"/>
        <v>0</v>
      </c>
      <c r="AF234" s="279">
        <f t="shared" si="115"/>
        <v>0</v>
      </c>
      <c r="AG234" s="279">
        <f t="shared" si="116"/>
        <v>0</v>
      </c>
      <c r="AH234" s="418">
        <f t="shared" si="117"/>
        <v>0</v>
      </c>
      <c r="AI234" s="296">
        <f>IF(Simulador!$T$67=1,'Tabla de amortizacion'!AJ234,'Tabla de amortizacion'!AR234)</f>
        <v>0.09</v>
      </c>
      <c r="AJ234" s="297">
        <f t="shared" si="130"/>
        <v>0.09</v>
      </c>
      <c r="AK234" s="298">
        <f t="shared" si="118"/>
        <v>0</v>
      </c>
      <c r="AL234" s="298"/>
      <c r="AM234" s="304"/>
      <c r="AN234" s="279"/>
      <c r="AO234" s="520">
        <f t="shared" si="104"/>
        <v>0.092</v>
      </c>
      <c r="AP234" s="299">
        <v>0</v>
      </c>
      <c r="AQ234" s="414">
        <f t="shared" si="119"/>
        <v>0</v>
      </c>
      <c r="AR234" s="300">
        <f>IF(AND(Simulador!$T$67=2,Simulador!$T$61=1),AL234,IF(AND(Simulador!$T$67=2,Simulador!$T$61=2),AM234,IF(AND(Simulador!$T$67=2,Simulador!$T$61=3),AN234,AO234)))</f>
        <v>0.092</v>
      </c>
      <c r="AS234" s="281"/>
      <c r="AT234" s="70">
        <f t="shared" si="129"/>
        <v>0</v>
      </c>
      <c r="AU234" s="70">
        <f t="shared" si="120"/>
        <v>0</v>
      </c>
      <c r="AV234" s="71">
        <f t="shared" si="109"/>
        <v>0</v>
      </c>
      <c r="AW234" s="70">
        <f t="shared" si="110"/>
        <v>0</v>
      </c>
      <c r="AX234" s="70">
        <f t="shared" si="121"/>
        <v>0</v>
      </c>
      <c r="AY234" s="72">
        <f t="shared" si="111"/>
      </c>
      <c r="AZ234" s="70">
        <f>_xlfn.IFERROR(IF(Simulador!$U$29=1,0,IF($AT234&lt;=0.01,0,$AT234*Simulador!$AA$42)),0)+_xlfn.IFERROR(IF(Simulador!$U$29=1,0,IF($AT234&lt;=0.01,0,IF(Simulador!$D$22&gt;0,Simulador!$D$22,Simulador!$O$24)*Simulador!$AA$43)),0)</f>
        <v>0</v>
      </c>
      <c r="BA234" s="73"/>
      <c r="BB234" s="70">
        <f t="shared" si="112"/>
        <v>0</v>
      </c>
      <c r="BC234">
        <f t="shared" si="122"/>
        <v>0</v>
      </c>
      <c r="BD234" s="431">
        <f t="shared" si="123"/>
      </c>
      <c r="BE234" s="432">
        <f t="shared" si="124"/>
        <v>0</v>
      </c>
      <c r="BF234" s="69">
        <v>220</v>
      </c>
      <c r="BG234" s="38"/>
      <c r="BJ234" s="69"/>
      <c r="BM234" s="432"/>
    </row>
    <row r="235" spans="1:65" ht="12">
      <c r="A235" s="531">
        <v>221</v>
      </c>
      <c r="B235" s="106">
        <f t="shared" si="125"/>
        <v>0</v>
      </c>
      <c r="C235" s="106"/>
      <c r="D235" s="107">
        <f>IF(B235+F235-D234&lt;=0,B235+F235,IF(AND(OR(Simulador!$U$38=2,Simulador!$U$38=7),J234=0),D234*(1+AA235),IF($AE$3=2,B235*AQ235,D234*(1+AA235))))</f>
        <v>0</v>
      </c>
      <c r="E235" s="107"/>
      <c r="F235" s="107">
        <f t="shared" si="106"/>
        <v>0</v>
      </c>
      <c r="G235" s="107"/>
      <c r="H235" s="107">
        <f t="shared" si="126"/>
        <v>0</v>
      </c>
      <c r="I235" s="108"/>
      <c r="J235" s="109"/>
      <c r="K235" s="108"/>
      <c r="L235" s="107">
        <f>IF(Simulador!$T$40=1,0,J235*Simulador!$W$38*1.16)</f>
        <v>0</v>
      </c>
      <c r="M235" s="107"/>
      <c r="N235" s="111"/>
      <c r="O235" s="13"/>
      <c r="P235" s="664">
        <f t="shared" si="107"/>
      </c>
      <c r="Q235" s="3"/>
      <c r="R235" s="107">
        <f t="shared" si="113"/>
        <v>0</v>
      </c>
      <c r="S235" s="107"/>
      <c r="T235" s="107">
        <f>_xlfn.IFERROR(IF(Simulador!$U$29=1,0,IF($B235&lt;=0,0,$B235*Simulador!$AA$42)),0)</f>
        <v>0</v>
      </c>
      <c r="U235" s="107"/>
      <c r="V235" s="107">
        <f>_xlfn.IFERROR(IF(Simulador!$U$29=1,0,IF($B235&lt;=0,0,IF(Simulador!$D$22&gt;0,Simulador!$D$22,Simulador!$O$24)*Simulador!$AA$43)),0)</f>
        <v>0</v>
      </c>
      <c r="W235" s="107"/>
      <c r="X235" s="107"/>
      <c r="Y235" s="107">
        <f t="shared" si="108"/>
        <v>0</v>
      </c>
      <c r="Z235" s="14"/>
      <c r="AA235" s="19"/>
      <c r="AB235" s="24"/>
      <c r="AC235" s="303">
        <v>18</v>
      </c>
      <c r="AD235" s="295">
        <v>5</v>
      </c>
      <c r="AE235" s="400">
        <f t="shared" si="114"/>
        <v>0</v>
      </c>
      <c r="AF235" s="279">
        <f t="shared" si="115"/>
        <v>0</v>
      </c>
      <c r="AG235" s="279">
        <f t="shared" si="116"/>
        <v>0</v>
      </c>
      <c r="AH235" s="418">
        <f t="shared" si="117"/>
        <v>0</v>
      </c>
      <c r="AI235" s="296">
        <f>IF(Simulador!$T$67=1,'Tabla de amortizacion'!AJ235,'Tabla de amortizacion'!AR235)</f>
        <v>0.09</v>
      </c>
      <c r="AJ235" s="297">
        <f t="shared" si="130"/>
        <v>0.09</v>
      </c>
      <c r="AK235" s="298">
        <f t="shared" si="118"/>
        <v>0</v>
      </c>
      <c r="AL235" s="298"/>
      <c r="AM235" s="304"/>
      <c r="AN235" s="279"/>
      <c r="AO235" s="520">
        <f t="shared" si="104"/>
        <v>0.092</v>
      </c>
      <c r="AP235" s="299">
        <v>0</v>
      </c>
      <c r="AQ235" s="414">
        <f t="shared" si="119"/>
        <v>0</v>
      </c>
      <c r="AR235" s="300">
        <f>IF(AND(Simulador!$T$67=2,Simulador!$T$61=1),AL235,IF(AND(Simulador!$T$67=2,Simulador!$T$61=2),AM235,IF(AND(Simulador!$T$67=2,Simulador!$T$61=3),AN235,AO235)))</f>
        <v>0.092</v>
      </c>
      <c r="AS235" s="281"/>
      <c r="AT235" s="70">
        <f t="shared" si="129"/>
        <v>0</v>
      </c>
      <c r="AU235" s="70">
        <f t="shared" si="120"/>
        <v>0</v>
      </c>
      <c r="AV235" s="71">
        <f t="shared" si="109"/>
        <v>0</v>
      </c>
      <c r="AW235" s="70">
        <f t="shared" si="110"/>
        <v>0</v>
      </c>
      <c r="AX235" s="70">
        <f t="shared" si="121"/>
        <v>0</v>
      </c>
      <c r="AY235" s="72">
        <f t="shared" si="111"/>
      </c>
      <c r="AZ235" s="70">
        <f>_xlfn.IFERROR(IF(Simulador!$U$29=1,0,IF($AT235&lt;=0.01,0,$AT235*Simulador!$AA$42)),0)+_xlfn.IFERROR(IF(Simulador!$U$29=1,0,IF($AT235&lt;=0.01,0,IF(Simulador!$D$22&gt;0,Simulador!$D$22,Simulador!$O$24)*Simulador!$AA$43)),0)</f>
        <v>0</v>
      </c>
      <c r="BA235" s="73"/>
      <c r="BB235" s="70">
        <f t="shared" si="112"/>
        <v>0</v>
      </c>
      <c r="BC235">
        <f t="shared" si="122"/>
        <v>0</v>
      </c>
      <c r="BD235" s="431">
        <f t="shared" si="123"/>
      </c>
      <c r="BE235" s="432">
        <f t="shared" si="124"/>
        <v>0</v>
      </c>
      <c r="BF235" s="69">
        <v>221</v>
      </c>
      <c r="BG235" s="38"/>
      <c r="BJ235" s="69"/>
      <c r="BM235" s="432"/>
    </row>
    <row r="236" spans="1:65" ht="12">
      <c r="A236" s="531">
        <v>222</v>
      </c>
      <c r="B236" s="106">
        <f t="shared" si="125"/>
        <v>0</v>
      </c>
      <c r="C236" s="106"/>
      <c r="D236" s="107">
        <f>IF(B236+F236-D235&lt;=0,B236+F236,IF(AND(OR(Simulador!$U$38=2,Simulador!$U$38=7),J235=0),D235*(1+AA236),IF($AE$3=2,B236*AQ236,D235*(1+AA236))))</f>
        <v>0</v>
      </c>
      <c r="E236" s="107"/>
      <c r="F236" s="107">
        <f t="shared" si="106"/>
        <v>0</v>
      </c>
      <c r="G236" s="107"/>
      <c r="H236" s="107">
        <f t="shared" si="126"/>
        <v>0</v>
      </c>
      <c r="I236" s="108"/>
      <c r="J236" s="109"/>
      <c r="K236" s="108"/>
      <c r="L236" s="107">
        <f>IF(Simulador!$T$40=1,0,J236*Simulador!$W$38*1.16)</f>
        <v>0</v>
      </c>
      <c r="M236" s="107"/>
      <c r="N236" s="110">
        <f>IF(B236-H236=0,0,N234)</f>
        <v>0</v>
      </c>
      <c r="O236" s="13"/>
      <c r="P236" s="664">
        <f t="shared" si="107"/>
      </c>
      <c r="Q236" s="3"/>
      <c r="R236" s="107">
        <f t="shared" si="113"/>
        <v>0</v>
      </c>
      <c r="S236" s="107"/>
      <c r="T236" s="107">
        <f>_xlfn.IFERROR(IF(Simulador!$U$29=1,0,IF($B236&lt;=0,0,$B236*Simulador!$AA$42)),0)</f>
        <v>0</v>
      </c>
      <c r="U236" s="107"/>
      <c r="V236" s="107">
        <f>_xlfn.IFERROR(IF(Simulador!$U$29=1,0,IF($B236&lt;=0,0,IF(Simulador!$D$22&gt;0,Simulador!$D$22,Simulador!$O$24)*Simulador!$AA$43)),0)</f>
        <v>0</v>
      </c>
      <c r="W236" s="107"/>
      <c r="X236" s="107"/>
      <c r="Y236" s="107">
        <f t="shared" si="108"/>
        <v>0</v>
      </c>
      <c r="Z236" s="14"/>
      <c r="AA236" s="19"/>
      <c r="AB236" s="24"/>
      <c r="AC236" s="303">
        <v>18</v>
      </c>
      <c r="AD236" s="295">
        <v>6</v>
      </c>
      <c r="AE236" s="400">
        <f t="shared" si="114"/>
        <v>0</v>
      </c>
      <c r="AF236" s="279">
        <f t="shared" si="115"/>
        <v>0</v>
      </c>
      <c r="AG236" s="279">
        <f t="shared" si="116"/>
        <v>0</v>
      </c>
      <c r="AH236" s="418">
        <f t="shared" si="117"/>
        <v>0</v>
      </c>
      <c r="AI236" s="296">
        <f>IF(Simulador!$T$67=1,'Tabla de amortizacion'!AJ236,'Tabla de amortizacion'!AR236)</f>
        <v>0.09</v>
      </c>
      <c r="AJ236" s="297">
        <f t="shared" si="130"/>
        <v>0.09</v>
      </c>
      <c r="AK236" s="298">
        <f t="shared" si="118"/>
        <v>0</v>
      </c>
      <c r="AL236" s="298"/>
      <c r="AM236" s="304"/>
      <c r="AN236" s="279"/>
      <c r="AO236" s="520">
        <f t="shared" si="104"/>
        <v>0.092</v>
      </c>
      <c r="AP236" s="299">
        <v>0</v>
      </c>
      <c r="AQ236" s="414">
        <f t="shared" si="119"/>
        <v>0</v>
      </c>
      <c r="AR236" s="300">
        <f>IF(AND(Simulador!$T$67=2,Simulador!$T$61=1),AL236,IF(AND(Simulador!$T$67=2,Simulador!$T$61=2),AM236,IF(AND(Simulador!$T$67=2,Simulador!$T$61=3),AN236,AO236)))</f>
        <v>0.092</v>
      </c>
      <c r="AS236" s="281"/>
      <c r="AT236" s="70">
        <f t="shared" si="129"/>
        <v>0</v>
      </c>
      <c r="AU236" s="70">
        <f t="shared" si="120"/>
        <v>0</v>
      </c>
      <c r="AV236" s="71">
        <f t="shared" si="109"/>
        <v>0</v>
      </c>
      <c r="AW236" s="70">
        <f t="shared" si="110"/>
        <v>0</v>
      </c>
      <c r="AX236" s="70">
        <f t="shared" si="121"/>
        <v>0</v>
      </c>
      <c r="AY236" s="72">
        <f t="shared" si="111"/>
      </c>
      <c r="AZ236" s="70">
        <f>_xlfn.IFERROR(IF(Simulador!$U$29=1,0,IF($AT236&lt;=0.01,0,$AT236*Simulador!$AA$42)),0)+_xlfn.IFERROR(IF(Simulador!$U$29=1,0,IF($AT236&lt;=0.01,0,IF(Simulador!$D$22&gt;0,Simulador!$D$22,Simulador!$O$24)*Simulador!$AA$43)),0)</f>
        <v>0</v>
      </c>
      <c r="BA236" s="73"/>
      <c r="BB236" s="70">
        <f t="shared" si="112"/>
        <v>0</v>
      </c>
      <c r="BC236">
        <f t="shared" si="122"/>
        <v>0</v>
      </c>
      <c r="BD236" s="431">
        <f t="shared" si="123"/>
      </c>
      <c r="BE236" s="432">
        <f t="shared" si="124"/>
        <v>0</v>
      </c>
      <c r="BF236" s="69">
        <v>222</v>
      </c>
      <c r="BG236" s="38"/>
      <c r="BJ236" s="69"/>
      <c r="BM236" s="432"/>
    </row>
    <row r="237" spans="1:65" ht="12">
      <c r="A237" s="531">
        <v>223</v>
      </c>
      <c r="B237" s="106">
        <f t="shared" si="125"/>
        <v>0</v>
      </c>
      <c r="C237" s="106"/>
      <c r="D237" s="107">
        <f>IF(B237+F237-D236&lt;=0,B237+F237,IF(AND(OR(Simulador!$U$38=2,Simulador!$U$38=7),J236=0),D236*(1+AA237),IF($AE$3=2,B237*AQ237,D236*(1+AA237))))</f>
        <v>0</v>
      </c>
      <c r="E237" s="107"/>
      <c r="F237" s="107">
        <f t="shared" si="106"/>
        <v>0</v>
      </c>
      <c r="G237" s="107"/>
      <c r="H237" s="107">
        <f t="shared" si="126"/>
        <v>0</v>
      </c>
      <c r="I237" s="108"/>
      <c r="J237" s="109"/>
      <c r="K237" s="108"/>
      <c r="L237" s="107">
        <f>IF(Simulador!$T$40=1,0,J237*Simulador!$W$38*1.16)</f>
        <v>0</v>
      </c>
      <c r="M237" s="107"/>
      <c r="N237" s="111"/>
      <c r="O237" s="13"/>
      <c r="P237" s="664">
        <f t="shared" si="107"/>
      </c>
      <c r="Q237" s="3"/>
      <c r="R237" s="107">
        <f t="shared" si="113"/>
        <v>0</v>
      </c>
      <c r="S237" s="107"/>
      <c r="T237" s="107">
        <f>_xlfn.IFERROR(IF(Simulador!$U$29=1,0,IF($B237&lt;=0,0,$B237*Simulador!$AA$42)),0)</f>
        <v>0</v>
      </c>
      <c r="U237" s="107"/>
      <c r="V237" s="107">
        <f>_xlfn.IFERROR(IF(Simulador!$U$29=1,0,IF($B237&lt;=0,0,IF(Simulador!$D$22&gt;0,Simulador!$D$22,Simulador!$O$24)*Simulador!$AA$43)),0)</f>
        <v>0</v>
      </c>
      <c r="W237" s="107"/>
      <c r="X237" s="107"/>
      <c r="Y237" s="107">
        <f t="shared" si="108"/>
        <v>0</v>
      </c>
      <c r="Z237" s="14"/>
      <c r="AA237" s="19"/>
      <c r="AB237" s="24"/>
      <c r="AC237" s="303">
        <v>18</v>
      </c>
      <c r="AD237" s="295">
        <v>7</v>
      </c>
      <c r="AE237" s="400">
        <f t="shared" si="114"/>
        <v>0</v>
      </c>
      <c r="AF237" s="279">
        <f t="shared" si="115"/>
        <v>0</v>
      </c>
      <c r="AG237" s="279">
        <f t="shared" si="116"/>
        <v>0</v>
      </c>
      <c r="AH237" s="418">
        <f t="shared" si="117"/>
        <v>0</v>
      </c>
      <c r="AI237" s="296">
        <f>IF(Simulador!$T$67=1,'Tabla de amortizacion'!AJ237,'Tabla de amortizacion'!AR237)</f>
        <v>0.09</v>
      </c>
      <c r="AJ237" s="297">
        <f t="shared" si="130"/>
        <v>0.09</v>
      </c>
      <c r="AK237" s="298">
        <f t="shared" si="118"/>
        <v>0</v>
      </c>
      <c r="AL237" s="298"/>
      <c r="AM237" s="304"/>
      <c r="AN237" s="279"/>
      <c r="AO237" s="520">
        <f t="shared" si="104"/>
        <v>0.092</v>
      </c>
      <c r="AP237" s="299">
        <v>0</v>
      </c>
      <c r="AQ237" s="414">
        <f t="shared" si="119"/>
        <v>0</v>
      </c>
      <c r="AR237" s="300">
        <f>IF(AND(Simulador!$T$67=2,Simulador!$T$61=1),AL237,IF(AND(Simulador!$T$67=2,Simulador!$T$61=2),AM237,IF(AND(Simulador!$T$67=2,Simulador!$T$61=3),AN237,AO237)))</f>
        <v>0.092</v>
      </c>
      <c r="AS237" s="281"/>
      <c r="AT237" s="70">
        <f t="shared" si="129"/>
        <v>0</v>
      </c>
      <c r="AU237" s="70">
        <f t="shared" si="120"/>
        <v>0</v>
      </c>
      <c r="AV237" s="71">
        <f t="shared" si="109"/>
        <v>0</v>
      </c>
      <c r="AW237" s="70">
        <f t="shared" si="110"/>
        <v>0</v>
      </c>
      <c r="AX237" s="70">
        <f t="shared" si="121"/>
        <v>0</v>
      </c>
      <c r="AY237" s="72">
        <f t="shared" si="111"/>
      </c>
      <c r="AZ237" s="70">
        <f>_xlfn.IFERROR(IF(Simulador!$U$29=1,0,IF($AT237&lt;=0.01,0,$AT237*Simulador!$AA$42)),0)+_xlfn.IFERROR(IF(Simulador!$U$29=1,0,IF($AT237&lt;=0.01,0,IF(Simulador!$D$22&gt;0,Simulador!$D$22,Simulador!$O$24)*Simulador!$AA$43)),0)</f>
        <v>0</v>
      </c>
      <c r="BA237" s="73"/>
      <c r="BB237" s="70">
        <f t="shared" si="112"/>
        <v>0</v>
      </c>
      <c r="BC237">
        <f t="shared" si="122"/>
        <v>0</v>
      </c>
      <c r="BD237" s="431">
        <f t="shared" si="123"/>
      </c>
      <c r="BE237" s="432">
        <f t="shared" si="124"/>
        <v>0</v>
      </c>
      <c r="BF237" s="69">
        <v>223</v>
      </c>
      <c r="BG237" s="38"/>
      <c r="BJ237" s="69"/>
      <c r="BM237" s="432"/>
    </row>
    <row r="238" spans="1:65" ht="12">
      <c r="A238" s="531">
        <v>224</v>
      </c>
      <c r="B238" s="106">
        <f t="shared" si="125"/>
        <v>0</v>
      </c>
      <c r="C238" s="106"/>
      <c r="D238" s="107">
        <f>IF(B238+F238-D237&lt;=0,B238+F238,IF(AND(OR(Simulador!$U$38=2,Simulador!$U$38=7),J237=0),D237*(1+AA238),IF($AE$3=2,B238*AQ238,D237*(1+AA238))))</f>
        <v>0</v>
      </c>
      <c r="E238" s="107"/>
      <c r="F238" s="107">
        <f t="shared" si="106"/>
        <v>0</v>
      </c>
      <c r="G238" s="107"/>
      <c r="H238" s="107">
        <f t="shared" si="126"/>
        <v>0</v>
      </c>
      <c r="I238" s="108"/>
      <c r="J238" s="109"/>
      <c r="K238" s="108"/>
      <c r="L238" s="107">
        <f>IF(Simulador!$T$40=1,0,J238*Simulador!$W$38*1.16)</f>
        <v>0</v>
      </c>
      <c r="M238" s="107"/>
      <c r="N238" s="110">
        <f>IF(B238-H238=0,0,N236)</f>
        <v>0</v>
      </c>
      <c r="O238" s="13"/>
      <c r="P238" s="664">
        <f t="shared" si="107"/>
      </c>
      <c r="Q238" s="3"/>
      <c r="R238" s="107">
        <f t="shared" si="113"/>
        <v>0</v>
      </c>
      <c r="S238" s="107"/>
      <c r="T238" s="107">
        <f>_xlfn.IFERROR(IF(Simulador!$U$29=1,0,IF($B238&lt;=0,0,$B238*Simulador!$AA$42)),0)</f>
        <v>0</v>
      </c>
      <c r="U238" s="107"/>
      <c r="V238" s="107">
        <f>_xlfn.IFERROR(IF(Simulador!$U$29=1,0,IF($B238&lt;=0,0,IF(Simulador!$D$22&gt;0,Simulador!$D$22,Simulador!$O$24)*Simulador!$AA$43)),0)</f>
        <v>0</v>
      </c>
      <c r="W238" s="107"/>
      <c r="X238" s="107"/>
      <c r="Y238" s="107">
        <f t="shared" si="108"/>
        <v>0</v>
      </c>
      <c r="Z238" s="14"/>
      <c r="AA238" s="19"/>
      <c r="AB238" s="24"/>
      <c r="AC238" s="303">
        <v>18</v>
      </c>
      <c r="AD238" s="295">
        <v>8</v>
      </c>
      <c r="AE238" s="400">
        <f t="shared" si="114"/>
        <v>0</v>
      </c>
      <c r="AF238" s="279">
        <f t="shared" si="115"/>
        <v>0</v>
      </c>
      <c r="AG238" s="279">
        <f t="shared" si="116"/>
        <v>0</v>
      </c>
      <c r="AH238" s="418">
        <f t="shared" si="117"/>
        <v>0</v>
      </c>
      <c r="AI238" s="296">
        <f>IF(Simulador!$T$67=1,'Tabla de amortizacion'!AJ238,'Tabla de amortizacion'!AR238)</f>
        <v>0.09</v>
      </c>
      <c r="AJ238" s="297">
        <f t="shared" si="130"/>
        <v>0.09</v>
      </c>
      <c r="AK238" s="298">
        <f t="shared" si="118"/>
        <v>0</v>
      </c>
      <c r="AL238" s="298"/>
      <c r="AM238" s="304"/>
      <c r="AN238" s="279"/>
      <c r="AO238" s="520">
        <f t="shared" si="104"/>
        <v>0.092</v>
      </c>
      <c r="AP238" s="299">
        <v>0</v>
      </c>
      <c r="AQ238" s="414">
        <f t="shared" si="119"/>
        <v>0</v>
      </c>
      <c r="AR238" s="300">
        <f>IF(AND(Simulador!$T$67=2,Simulador!$T$61=1),AL238,IF(AND(Simulador!$T$67=2,Simulador!$T$61=2),AM238,IF(AND(Simulador!$T$67=2,Simulador!$T$61=3),AN238,AO238)))</f>
        <v>0.092</v>
      </c>
      <c r="AS238" s="281"/>
      <c r="AT238" s="70">
        <f t="shared" si="129"/>
        <v>0</v>
      </c>
      <c r="AU238" s="70">
        <f t="shared" si="120"/>
        <v>0</v>
      </c>
      <c r="AV238" s="71">
        <f t="shared" si="109"/>
        <v>0</v>
      </c>
      <c r="AW238" s="70">
        <f t="shared" si="110"/>
        <v>0</v>
      </c>
      <c r="AX238" s="70">
        <f t="shared" si="121"/>
        <v>0</v>
      </c>
      <c r="AY238" s="72">
        <f t="shared" si="111"/>
      </c>
      <c r="AZ238" s="70">
        <f>_xlfn.IFERROR(IF(Simulador!$U$29=1,0,IF($AT238&lt;=0.01,0,$AT238*Simulador!$AA$42)),0)+_xlfn.IFERROR(IF(Simulador!$U$29=1,0,IF($AT238&lt;=0.01,0,IF(Simulador!$D$22&gt;0,Simulador!$D$22,Simulador!$O$24)*Simulador!$AA$43)),0)</f>
        <v>0</v>
      </c>
      <c r="BA238" s="73"/>
      <c r="BB238" s="70">
        <f t="shared" si="112"/>
        <v>0</v>
      </c>
      <c r="BC238">
        <f t="shared" si="122"/>
        <v>0</v>
      </c>
      <c r="BD238" s="431">
        <f t="shared" si="123"/>
      </c>
      <c r="BE238" s="432">
        <f t="shared" si="124"/>
        <v>0</v>
      </c>
      <c r="BF238" s="69">
        <v>224</v>
      </c>
      <c r="BG238" s="38"/>
      <c r="BJ238" s="69"/>
      <c r="BM238" s="432"/>
    </row>
    <row r="239" spans="1:65" ht="12">
      <c r="A239" s="531">
        <v>225</v>
      </c>
      <c r="B239" s="106">
        <f t="shared" si="125"/>
        <v>0</v>
      </c>
      <c r="C239" s="106"/>
      <c r="D239" s="107">
        <f>IF(B239+F239-D238&lt;=0,B239+F239,IF(AND(OR(Simulador!$U$38=2,Simulador!$U$38=7),J238=0),D238*(1+AA239),IF($AE$3=2,B239*AQ239,D238*(1+AA239))))</f>
        <v>0</v>
      </c>
      <c r="E239" s="107"/>
      <c r="F239" s="107">
        <f t="shared" si="106"/>
        <v>0</v>
      </c>
      <c r="G239" s="107"/>
      <c r="H239" s="107">
        <f t="shared" si="126"/>
        <v>0</v>
      </c>
      <c r="I239" s="108"/>
      <c r="J239" s="109"/>
      <c r="K239" s="108"/>
      <c r="L239" s="107">
        <f>IF(Simulador!$T$40=1,0,J239*Simulador!$W$38*1.16)</f>
        <v>0</v>
      </c>
      <c r="M239" s="107"/>
      <c r="N239" s="111"/>
      <c r="O239" s="13"/>
      <c r="P239" s="664">
        <f t="shared" si="107"/>
      </c>
      <c r="Q239" s="3"/>
      <c r="R239" s="107">
        <f t="shared" si="113"/>
        <v>0</v>
      </c>
      <c r="S239" s="107"/>
      <c r="T239" s="107">
        <f>_xlfn.IFERROR(IF(Simulador!$U$29=1,0,IF($B239&lt;=0,0,$B239*Simulador!$AA$42)),0)</f>
        <v>0</v>
      </c>
      <c r="U239" s="107"/>
      <c r="V239" s="107">
        <f>_xlfn.IFERROR(IF(Simulador!$U$29=1,0,IF($B239&lt;=0,0,IF(Simulador!$D$22&gt;0,Simulador!$D$22,Simulador!$O$24)*Simulador!$AA$43)),0)</f>
        <v>0</v>
      </c>
      <c r="W239" s="107"/>
      <c r="X239" s="107"/>
      <c r="Y239" s="107">
        <f t="shared" si="108"/>
        <v>0</v>
      </c>
      <c r="Z239" s="14"/>
      <c r="AA239" s="19"/>
      <c r="AB239" s="24"/>
      <c r="AC239" s="303">
        <v>18</v>
      </c>
      <c r="AD239" s="302">
        <v>9</v>
      </c>
      <c r="AE239" s="400">
        <f t="shared" si="114"/>
        <v>0</v>
      </c>
      <c r="AF239" s="279">
        <f t="shared" si="115"/>
        <v>0</v>
      </c>
      <c r="AG239" s="279">
        <f t="shared" si="116"/>
        <v>0</v>
      </c>
      <c r="AH239" s="418">
        <f t="shared" si="117"/>
        <v>0</v>
      </c>
      <c r="AI239" s="296">
        <f>IF(Simulador!$T$67=1,'Tabla de amortizacion'!AJ239,'Tabla de amortizacion'!AR239)</f>
        <v>0.09</v>
      </c>
      <c r="AJ239" s="297">
        <f t="shared" si="130"/>
        <v>0.09</v>
      </c>
      <c r="AK239" s="298">
        <f t="shared" si="118"/>
        <v>0</v>
      </c>
      <c r="AL239" s="298"/>
      <c r="AM239" s="304"/>
      <c r="AN239" s="279"/>
      <c r="AO239" s="520">
        <f t="shared" si="104"/>
        <v>0.092</v>
      </c>
      <c r="AP239" s="299">
        <v>0</v>
      </c>
      <c r="AQ239" s="414">
        <f t="shared" si="119"/>
        <v>0</v>
      </c>
      <c r="AR239" s="300">
        <f>IF(AND(Simulador!$T$67=2,Simulador!$T$61=1),AL239,IF(AND(Simulador!$T$67=2,Simulador!$T$61=2),AM239,IF(AND(Simulador!$T$67=2,Simulador!$T$61=3),AN239,AO239)))</f>
        <v>0.092</v>
      </c>
      <c r="AS239" s="281"/>
      <c r="AT239" s="70">
        <f t="shared" si="129"/>
        <v>0</v>
      </c>
      <c r="AU239" s="70">
        <f t="shared" si="120"/>
        <v>0</v>
      </c>
      <c r="AV239" s="71">
        <f t="shared" si="109"/>
        <v>0</v>
      </c>
      <c r="AW239" s="70">
        <f t="shared" si="110"/>
        <v>0</v>
      </c>
      <c r="AX239" s="70">
        <f t="shared" si="121"/>
        <v>0</v>
      </c>
      <c r="AY239" s="72">
        <f t="shared" si="111"/>
      </c>
      <c r="AZ239" s="70">
        <f>_xlfn.IFERROR(IF(Simulador!$U$29=1,0,IF($AT239&lt;=0.01,0,$AT239*Simulador!$AA$42)),0)+_xlfn.IFERROR(IF(Simulador!$U$29=1,0,IF($AT239&lt;=0.01,0,IF(Simulador!$D$22&gt;0,Simulador!$D$22,Simulador!$O$24)*Simulador!$AA$43)),0)</f>
        <v>0</v>
      </c>
      <c r="BA239" s="73"/>
      <c r="BB239" s="70">
        <f t="shared" si="112"/>
        <v>0</v>
      </c>
      <c r="BC239">
        <f t="shared" si="122"/>
        <v>0</v>
      </c>
      <c r="BD239" s="431">
        <f t="shared" si="123"/>
      </c>
      <c r="BE239" s="432">
        <f t="shared" si="124"/>
        <v>0</v>
      </c>
      <c r="BF239" s="69">
        <v>225</v>
      </c>
      <c r="BG239" s="38"/>
      <c r="BJ239" s="69"/>
      <c r="BM239" s="432"/>
    </row>
    <row r="240" spans="1:65" ht="12">
      <c r="A240" s="531">
        <v>226</v>
      </c>
      <c r="B240" s="106">
        <f t="shared" si="125"/>
        <v>0</v>
      </c>
      <c r="C240" s="106"/>
      <c r="D240" s="107">
        <f>IF(B240+F240-D239&lt;=0,B240+F240,IF(AND(OR(Simulador!$U$38=2,Simulador!$U$38=7),J239=0),D239*(1+AA240),IF($AE$3=2,B240*AQ240,D239*(1+AA240))))</f>
        <v>0</v>
      </c>
      <c r="E240" s="107"/>
      <c r="F240" s="107">
        <f t="shared" si="106"/>
        <v>0</v>
      </c>
      <c r="G240" s="107"/>
      <c r="H240" s="107">
        <f t="shared" si="126"/>
        <v>0</v>
      </c>
      <c r="I240" s="108"/>
      <c r="J240" s="109"/>
      <c r="K240" s="108"/>
      <c r="L240" s="107">
        <f>IF(Simulador!$T$40=1,0,J240*Simulador!$W$38*1.16)</f>
        <v>0</v>
      </c>
      <c r="M240" s="107"/>
      <c r="N240" s="110">
        <f>IF(B240-H240=0,0,N238)</f>
        <v>0</v>
      </c>
      <c r="O240" s="13"/>
      <c r="P240" s="664">
        <f t="shared" si="107"/>
      </c>
      <c r="Q240" s="3"/>
      <c r="R240" s="107">
        <f t="shared" si="113"/>
        <v>0</v>
      </c>
      <c r="S240" s="107"/>
      <c r="T240" s="107">
        <f>_xlfn.IFERROR(IF(Simulador!$U$29=1,0,IF($B240&lt;=0,0,$B240*Simulador!$AA$42)),0)</f>
        <v>0</v>
      </c>
      <c r="U240" s="107"/>
      <c r="V240" s="107">
        <f>_xlfn.IFERROR(IF(Simulador!$U$29=1,0,IF($B240&lt;=0,0,IF(Simulador!$D$22&gt;0,Simulador!$D$22,Simulador!$O$24)*Simulador!$AA$43)),0)</f>
        <v>0</v>
      </c>
      <c r="W240" s="107"/>
      <c r="X240" s="107"/>
      <c r="Y240" s="107">
        <f t="shared" si="108"/>
        <v>0</v>
      </c>
      <c r="Z240" s="14"/>
      <c r="AA240" s="19"/>
      <c r="AB240" s="24"/>
      <c r="AC240" s="303">
        <v>18</v>
      </c>
      <c r="AD240" s="302">
        <v>10</v>
      </c>
      <c r="AE240" s="400">
        <f t="shared" si="114"/>
        <v>0</v>
      </c>
      <c r="AF240" s="279">
        <f t="shared" si="115"/>
        <v>0</v>
      </c>
      <c r="AG240" s="279">
        <f t="shared" si="116"/>
        <v>0</v>
      </c>
      <c r="AH240" s="418">
        <f t="shared" si="117"/>
        <v>0</v>
      </c>
      <c r="AI240" s="296">
        <f>IF(Simulador!$T$67=1,'Tabla de amortizacion'!AJ240,'Tabla de amortizacion'!AR240)</f>
        <v>0.09</v>
      </c>
      <c r="AJ240" s="297">
        <f t="shared" si="130"/>
        <v>0.09</v>
      </c>
      <c r="AK240" s="298">
        <f t="shared" si="118"/>
        <v>0</v>
      </c>
      <c r="AL240" s="298"/>
      <c r="AM240" s="304"/>
      <c r="AN240" s="279"/>
      <c r="AO240" s="520">
        <f t="shared" si="104"/>
        <v>0.092</v>
      </c>
      <c r="AP240" s="299">
        <v>0</v>
      </c>
      <c r="AQ240" s="414">
        <f t="shared" si="119"/>
        <v>0</v>
      </c>
      <c r="AR240" s="300">
        <f>IF(AND(Simulador!$T$67=2,Simulador!$T$61=1),AL240,IF(AND(Simulador!$T$67=2,Simulador!$T$61=2),AM240,IF(AND(Simulador!$T$67=2,Simulador!$T$61=3),AN240,AO240)))</f>
        <v>0.092</v>
      </c>
      <c r="AS240" s="281"/>
      <c r="AT240" s="70">
        <f t="shared" si="129"/>
        <v>0</v>
      </c>
      <c r="AU240" s="70">
        <f t="shared" si="120"/>
        <v>0</v>
      </c>
      <c r="AV240" s="71">
        <f t="shared" si="109"/>
        <v>0</v>
      </c>
      <c r="AW240" s="70">
        <f t="shared" si="110"/>
        <v>0</v>
      </c>
      <c r="AX240" s="70">
        <f t="shared" si="121"/>
        <v>0</v>
      </c>
      <c r="AY240" s="72">
        <f t="shared" si="111"/>
      </c>
      <c r="AZ240" s="70">
        <f>_xlfn.IFERROR(IF(Simulador!$U$29=1,0,IF($AT240&lt;=0.01,0,$AT240*Simulador!$AA$42)),0)+_xlfn.IFERROR(IF(Simulador!$U$29=1,0,IF($AT240&lt;=0.01,0,IF(Simulador!$D$22&gt;0,Simulador!$D$22,Simulador!$O$24)*Simulador!$AA$43)),0)</f>
        <v>0</v>
      </c>
      <c r="BA240" s="73"/>
      <c r="BB240" s="70">
        <f t="shared" si="112"/>
        <v>0</v>
      </c>
      <c r="BC240">
        <f t="shared" si="122"/>
        <v>0</v>
      </c>
      <c r="BD240" s="431">
        <f t="shared" si="123"/>
      </c>
      <c r="BE240" s="432">
        <f t="shared" si="124"/>
        <v>0</v>
      </c>
      <c r="BF240" s="69">
        <v>226</v>
      </c>
      <c r="BG240" s="38"/>
      <c r="BJ240" s="69"/>
      <c r="BM240" s="432"/>
    </row>
    <row r="241" spans="1:65" ht="12">
      <c r="A241" s="531">
        <v>227</v>
      </c>
      <c r="B241" s="106">
        <f t="shared" si="125"/>
        <v>0</v>
      </c>
      <c r="C241" s="106"/>
      <c r="D241" s="107">
        <f>IF(B241+F241-D240&lt;=0,B241+F241,IF(AND(OR(Simulador!$U$38=2,Simulador!$U$38=7),J240=0),D240*(1+AA241),IF($AE$3=2,B241*AQ241,D240*(1+AA241))))</f>
        <v>0</v>
      </c>
      <c r="E241" s="107"/>
      <c r="F241" s="107">
        <f t="shared" si="106"/>
        <v>0</v>
      </c>
      <c r="G241" s="107"/>
      <c r="H241" s="107">
        <f t="shared" si="126"/>
        <v>0</v>
      </c>
      <c r="I241" s="108"/>
      <c r="J241" s="109"/>
      <c r="K241" s="108"/>
      <c r="L241" s="107">
        <f>IF(Simulador!$T$40=1,0,J241*Simulador!$W$38*1.16)</f>
        <v>0</v>
      </c>
      <c r="M241" s="107"/>
      <c r="N241" s="111"/>
      <c r="O241" s="13"/>
      <c r="P241" s="664">
        <f t="shared" si="107"/>
      </c>
      <c r="Q241" s="3"/>
      <c r="R241" s="107">
        <f t="shared" si="113"/>
        <v>0</v>
      </c>
      <c r="S241" s="107"/>
      <c r="T241" s="107">
        <f>_xlfn.IFERROR(IF(Simulador!$U$29=1,0,IF($B241&lt;=0,0,$B241*Simulador!$AA$42)),0)</f>
        <v>0</v>
      </c>
      <c r="U241" s="107"/>
      <c r="V241" s="107">
        <f>_xlfn.IFERROR(IF(Simulador!$U$29=1,0,IF($B241&lt;=0,0,IF(Simulador!$D$22&gt;0,Simulador!$D$22,Simulador!$O$24)*Simulador!$AA$43)),0)</f>
        <v>0</v>
      </c>
      <c r="W241" s="107"/>
      <c r="X241" s="107"/>
      <c r="Y241" s="107">
        <f t="shared" si="108"/>
        <v>0</v>
      </c>
      <c r="Z241" s="14"/>
      <c r="AA241" s="19"/>
      <c r="AB241" s="24"/>
      <c r="AC241" s="303">
        <v>18</v>
      </c>
      <c r="AD241" s="295">
        <v>11</v>
      </c>
      <c r="AE241" s="400">
        <f t="shared" si="114"/>
        <v>0</v>
      </c>
      <c r="AF241" s="279">
        <f t="shared" si="115"/>
        <v>0</v>
      </c>
      <c r="AG241" s="279">
        <f t="shared" si="116"/>
        <v>0</v>
      </c>
      <c r="AH241" s="418">
        <f t="shared" si="117"/>
        <v>0</v>
      </c>
      <c r="AI241" s="296">
        <f>IF(Simulador!$T$67=1,'Tabla de amortizacion'!AJ241,'Tabla de amortizacion'!AR241)</f>
        <v>0.09</v>
      </c>
      <c r="AJ241" s="297">
        <f t="shared" si="130"/>
        <v>0.09</v>
      </c>
      <c r="AK241" s="298">
        <f t="shared" si="118"/>
        <v>0</v>
      </c>
      <c r="AL241" s="298"/>
      <c r="AM241" s="304"/>
      <c r="AN241" s="279"/>
      <c r="AO241" s="520">
        <f t="shared" si="104"/>
        <v>0.092</v>
      </c>
      <c r="AP241" s="299">
        <v>0</v>
      </c>
      <c r="AQ241" s="414">
        <f t="shared" si="119"/>
        <v>0</v>
      </c>
      <c r="AR241" s="300">
        <f>IF(AND(Simulador!$T$67=2,Simulador!$T$61=1),AL241,IF(AND(Simulador!$T$67=2,Simulador!$T$61=2),AM241,IF(AND(Simulador!$T$67=2,Simulador!$T$61=3),AN241,AO241)))</f>
        <v>0.092</v>
      </c>
      <c r="AS241" s="281"/>
      <c r="AT241" s="70">
        <f t="shared" si="129"/>
        <v>0</v>
      </c>
      <c r="AU241" s="70">
        <f t="shared" si="120"/>
        <v>0</v>
      </c>
      <c r="AV241" s="71">
        <f t="shared" si="109"/>
        <v>0</v>
      </c>
      <c r="AW241" s="70">
        <f t="shared" si="110"/>
        <v>0</v>
      </c>
      <c r="AX241" s="70">
        <f t="shared" si="121"/>
        <v>0</v>
      </c>
      <c r="AY241" s="72">
        <f t="shared" si="111"/>
      </c>
      <c r="AZ241" s="70">
        <f>_xlfn.IFERROR(IF(Simulador!$U$29=1,0,IF($AT241&lt;=0.01,0,$AT241*Simulador!$AA$42)),0)+_xlfn.IFERROR(IF(Simulador!$U$29=1,0,IF($AT241&lt;=0.01,0,IF(Simulador!$D$22&gt;0,Simulador!$D$22,Simulador!$O$24)*Simulador!$AA$43)),0)</f>
        <v>0</v>
      </c>
      <c r="BA241" s="73"/>
      <c r="BB241" s="70">
        <f t="shared" si="112"/>
        <v>0</v>
      </c>
      <c r="BC241">
        <f t="shared" si="122"/>
        <v>0</v>
      </c>
      <c r="BD241" s="431">
        <f t="shared" si="123"/>
      </c>
      <c r="BE241" s="432">
        <f t="shared" si="124"/>
        <v>0</v>
      </c>
      <c r="BF241" s="69">
        <v>227</v>
      </c>
      <c r="BG241" s="38"/>
      <c r="BJ241" s="69"/>
      <c r="BM241" s="432"/>
    </row>
    <row r="242" spans="1:65" ht="12">
      <c r="A242" s="531">
        <v>228</v>
      </c>
      <c r="B242" s="106">
        <f t="shared" si="125"/>
        <v>0</v>
      </c>
      <c r="C242" s="106"/>
      <c r="D242" s="107">
        <f>IF(B242+F242-D241&lt;=0,B242+F242,IF(AND(OR(Simulador!$U$38=2,Simulador!$U$38=7),J241=0),D241*(1+AA242),IF($AE$3=2,B242*AQ242,D241*(1+AA242))))</f>
        <v>0</v>
      </c>
      <c r="E242" s="107"/>
      <c r="F242" s="107">
        <f t="shared" si="106"/>
        <v>0</v>
      </c>
      <c r="G242" s="107"/>
      <c r="H242" s="107">
        <f t="shared" si="126"/>
        <v>0</v>
      </c>
      <c r="I242" s="108"/>
      <c r="J242" s="109"/>
      <c r="K242" s="108"/>
      <c r="L242" s="107">
        <f>IF(Simulador!$T$40=1,0,J242*Simulador!$W$38*1.16)</f>
        <v>0</v>
      </c>
      <c r="M242" s="107"/>
      <c r="N242" s="110">
        <f>IF(B242-H242=0,0,N240)</f>
        <v>0</v>
      </c>
      <c r="O242" s="13"/>
      <c r="P242" s="664">
        <f t="shared" si="107"/>
      </c>
      <c r="Q242" s="3"/>
      <c r="R242" s="107">
        <f t="shared" si="113"/>
        <v>0</v>
      </c>
      <c r="S242" s="107"/>
      <c r="T242" s="107">
        <f>_xlfn.IFERROR(IF(Simulador!$U$29=1,0,IF($B242&lt;=0,0,$B242*Simulador!$AA$42)),0)</f>
        <v>0</v>
      </c>
      <c r="U242" s="107"/>
      <c r="V242" s="107">
        <f>_xlfn.IFERROR(IF(Simulador!$U$29=1,0,IF($B242&lt;=0,0,IF(Simulador!$D$22&gt;0,Simulador!$D$22,Simulador!$O$24)*Simulador!$AA$43)),0)</f>
        <v>0</v>
      </c>
      <c r="W242" s="107"/>
      <c r="X242" s="107"/>
      <c r="Y242" s="107">
        <f t="shared" si="108"/>
        <v>0</v>
      </c>
      <c r="Z242" s="14"/>
      <c r="AA242" s="19"/>
      <c r="AB242" s="24"/>
      <c r="AC242" s="303">
        <v>19</v>
      </c>
      <c r="AD242" s="295">
        <v>0</v>
      </c>
      <c r="AE242" s="400">
        <f t="shared" si="114"/>
        <v>0</v>
      </c>
      <c r="AF242" s="279">
        <f t="shared" si="115"/>
        <v>0</v>
      </c>
      <c r="AG242" s="279">
        <f t="shared" si="116"/>
        <v>0</v>
      </c>
      <c r="AH242" s="418">
        <f t="shared" si="117"/>
        <v>0</v>
      </c>
      <c r="AI242" s="296">
        <f>IF(Simulador!$T$67=1,'Tabla de amortizacion'!AJ242,'Tabla de amortizacion'!AR242)</f>
        <v>0.09</v>
      </c>
      <c r="AJ242" s="297">
        <f t="shared" si="130"/>
        <v>0.09</v>
      </c>
      <c r="AK242" s="298">
        <f t="shared" si="118"/>
        <v>0</v>
      </c>
      <c r="AL242" s="298"/>
      <c r="AM242" s="304"/>
      <c r="AN242" s="279"/>
      <c r="AO242" s="520">
        <f t="shared" si="104"/>
        <v>0.092</v>
      </c>
      <c r="AP242" s="299">
        <v>0</v>
      </c>
      <c r="AQ242" s="414">
        <f t="shared" si="119"/>
        <v>0</v>
      </c>
      <c r="AR242" s="300">
        <f>IF(AND(Simulador!$T$67=2,Simulador!$T$61=1),AL242,IF(AND(Simulador!$T$67=2,Simulador!$T$61=2),AM242,IF(AND(Simulador!$T$67=2,Simulador!$T$61=3),AN242,AO242)))</f>
        <v>0.092</v>
      </c>
      <c r="AS242" s="281"/>
      <c r="AT242" s="70">
        <f t="shared" si="129"/>
        <v>0</v>
      </c>
      <c r="AU242" s="70">
        <f t="shared" si="120"/>
        <v>0</v>
      </c>
      <c r="AV242" s="71">
        <f t="shared" si="109"/>
        <v>0</v>
      </c>
      <c r="AW242" s="70">
        <f t="shared" si="110"/>
        <v>0</v>
      </c>
      <c r="AX242" s="70">
        <f t="shared" si="121"/>
        <v>0</v>
      </c>
      <c r="AY242" s="72">
        <f t="shared" si="111"/>
      </c>
      <c r="AZ242" s="70">
        <f>_xlfn.IFERROR(IF(Simulador!$U$29=1,0,IF($AT242&lt;=0.01,0,$AT242*Simulador!$AA$42)),0)+_xlfn.IFERROR(IF(Simulador!$U$29=1,0,IF($AT242&lt;=0.01,0,IF(Simulador!$D$22&gt;0,Simulador!$D$22,Simulador!$O$24)*Simulador!$AA$43)),0)</f>
        <v>0</v>
      </c>
      <c r="BA242" s="73"/>
      <c r="BB242" s="70">
        <f t="shared" si="112"/>
        <v>0</v>
      </c>
      <c r="BC242">
        <f t="shared" si="122"/>
        <v>0</v>
      </c>
      <c r="BD242" s="431">
        <f t="shared" si="123"/>
      </c>
      <c r="BE242" s="432">
        <f t="shared" si="124"/>
        <v>0</v>
      </c>
      <c r="BF242" s="69">
        <v>228</v>
      </c>
      <c r="BG242" s="38"/>
      <c r="BJ242" s="69"/>
      <c r="BM242" s="432"/>
    </row>
    <row r="243" spans="1:65" ht="12">
      <c r="A243" s="531">
        <v>229</v>
      </c>
      <c r="B243" s="106">
        <f t="shared" si="125"/>
        <v>0</v>
      </c>
      <c r="C243" s="106"/>
      <c r="D243" s="107">
        <f>IF(B243+F243-D242&lt;=0,B243+F243,IF(AND(OR(Simulador!$U$38=2,Simulador!$U$38=7),J242=0),D242*(1+AA243),IF($AE$3=2,B243*AQ243,D242*(1+AA243))))</f>
        <v>0</v>
      </c>
      <c r="E243" s="107"/>
      <c r="F243" s="107">
        <f t="shared" si="106"/>
        <v>0</v>
      </c>
      <c r="G243" s="107"/>
      <c r="H243" s="107">
        <f t="shared" si="126"/>
        <v>0</v>
      </c>
      <c r="I243" s="108"/>
      <c r="J243" s="109"/>
      <c r="K243" s="108"/>
      <c r="L243" s="107">
        <f>IF(Simulador!$T$40=1,0,J243*Simulador!$W$38*1.16)</f>
        <v>0</v>
      </c>
      <c r="M243" s="107"/>
      <c r="N243" s="111"/>
      <c r="O243" s="13"/>
      <c r="P243" s="664">
        <f t="shared" si="107"/>
      </c>
      <c r="Q243" s="3"/>
      <c r="R243" s="107">
        <f t="shared" si="113"/>
        <v>0</v>
      </c>
      <c r="S243" s="107"/>
      <c r="T243" s="107">
        <f>_xlfn.IFERROR(IF(Simulador!$U$29=1,0,IF($B243&lt;=0,0,$B243*Simulador!$AA$42)),0)</f>
        <v>0</v>
      </c>
      <c r="U243" s="107"/>
      <c r="V243" s="107">
        <f>_xlfn.IFERROR(IF(Simulador!$U$29=1,0,IF($B243&lt;=0,0,IF(Simulador!$D$22&gt;0,Simulador!$D$22,Simulador!$O$24)*Simulador!$AA$43)),0)</f>
        <v>0</v>
      </c>
      <c r="W243" s="107"/>
      <c r="X243" s="107"/>
      <c r="Y243" s="107">
        <f t="shared" si="108"/>
        <v>0</v>
      </c>
      <c r="Z243" s="14"/>
      <c r="AA243" s="19">
        <f>IF(B243&lt;=0,0,Simulador!$I$42)</f>
        <v>0</v>
      </c>
      <c r="AB243" s="24"/>
      <c r="AC243" s="303">
        <v>19</v>
      </c>
      <c r="AD243" s="295">
        <v>1</v>
      </c>
      <c r="AE243" s="400">
        <f t="shared" si="114"/>
        <v>0</v>
      </c>
      <c r="AF243" s="279">
        <f t="shared" si="115"/>
        <v>0</v>
      </c>
      <c r="AG243" s="279">
        <f t="shared" si="116"/>
        <v>0</v>
      </c>
      <c r="AH243" s="418">
        <f t="shared" si="117"/>
        <v>0</v>
      </c>
      <c r="AI243" s="296">
        <f>IF(Simulador!$T$67=1,'Tabla de amortizacion'!AJ243,'Tabla de amortizacion'!AR243)</f>
        <v>0.09</v>
      </c>
      <c r="AJ243" s="297">
        <f>IF(AJ242=$AM$4,AJ242,IF(AJ242-0.25%&lt;=$AM$4,$AM$4,AJ242-0.25%))</f>
        <v>0.09</v>
      </c>
      <c r="AK243" s="298">
        <f t="shared" si="118"/>
        <v>0</v>
      </c>
      <c r="AL243" s="298"/>
      <c r="AM243" s="304"/>
      <c r="AN243" s="279"/>
      <c r="AO243" s="520">
        <f t="shared" si="104"/>
        <v>0.092</v>
      </c>
      <c r="AP243" s="299">
        <v>0</v>
      </c>
      <c r="AQ243" s="414">
        <f t="shared" si="119"/>
        <v>0</v>
      </c>
      <c r="AR243" s="300">
        <f>IF(AND(Simulador!$T$67=2,Simulador!$T$61=1),AL243,IF(AND(Simulador!$T$67=2,Simulador!$T$61=2),AM243,IF(AND(Simulador!$T$67=2,Simulador!$T$61=3),AN243,AO243)))</f>
        <v>0.092</v>
      </c>
      <c r="AS243" s="281"/>
      <c r="AT243" s="70">
        <f t="shared" si="129"/>
        <v>0</v>
      </c>
      <c r="AU243" s="70">
        <f t="shared" si="120"/>
        <v>0</v>
      </c>
      <c r="AV243" s="71">
        <f t="shared" si="109"/>
        <v>0</v>
      </c>
      <c r="AW243" s="70">
        <f t="shared" si="110"/>
        <v>0</v>
      </c>
      <c r="AX243" s="70">
        <f t="shared" si="121"/>
        <v>0</v>
      </c>
      <c r="AY243" s="72">
        <f t="shared" si="111"/>
      </c>
      <c r="AZ243" s="70">
        <f>_xlfn.IFERROR(IF(Simulador!$U$29=1,0,IF($AT243&lt;=0.01,0,$AT243*Simulador!$AA$42)),0)+_xlfn.IFERROR(IF(Simulador!$U$29=1,0,IF($AT243&lt;=0.01,0,IF(Simulador!$D$22&gt;0,Simulador!$D$22,Simulador!$O$24)*Simulador!$AA$43)),0)</f>
        <v>0</v>
      </c>
      <c r="BA243" s="73">
        <f>IF(AT243&lt;=0,0,$BA$27)</f>
        <v>0</v>
      </c>
      <c r="BB243" s="70">
        <f t="shared" si="112"/>
        <v>0</v>
      </c>
      <c r="BC243">
        <f t="shared" si="122"/>
        <v>0</v>
      </c>
      <c r="BD243" s="431">
        <f t="shared" si="123"/>
      </c>
      <c r="BE243" s="432">
        <f t="shared" si="124"/>
        <v>0</v>
      </c>
      <c r="BF243" s="69">
        <v>229</v>
      </c>
      <c r="BG243" s="38"/>
      <c r="BJ243" s="69"/>
      <c r="BM243" s="432"/>
    </row>
    <row r="244" spans="1:65" ht="12">
      <c r="A244" s="531">
        <v>230</v>
      </c>
      <c r="B244" s="106">
        <f t="shared" si="125"/>
        <v>0</v>
      </c>
      <c r="C244" s="106"/>
      <c r="D244" s="107">
        <f>IF(B244+F244-D243&lt;=0,B244+F244,IF(AND(OR(Simulador!$U$38=2,Simulador!$U$38=7),J243=0),D243*(1+AA244),IF($AE$3=2,B244*AQ244,D243*(1+AA244))))</f>
        <v>0</v>
      </c>
      <c r="E244" s="107"/>
      <c r="F244" s="107">
        <f t="shared" si="106"/>
        <v>0</v>
      </c>
      <c r="G244" s="107"/>
      <c r="H244" s="107">
        <f t="shared" si="126"/>
        <v>0</v>
      </c>
      <c r="I244" s="108"/>
      <c r="J244" s="109"/>
      <c r="K244" s="108"/>
      <c r="L244" s="107">
        <f>IF(Simulador!$T$40=1,0,J244*Simulador!$W$38*1.16)</f>
        <v>0</v>
      </c>
      <c r="M244" s="107"/>
      <c r="N244" s="110">
        <f>IF(B244-H244=0,0,N242*(1+(Simulador!$AF$76)))</f>
        <v>0</v>
      </c>
      <c r="O244" s="13"/>
      <c r="P244" s="664">
        <f t="shared" si="107"/>
      </c>
      <c r="Q244" s="3"/>
      <c r="R244" s="107">
        <f t="shared" si="113"/>
        <v>0</v>
      </c>
      <c r="S244" s="107"/>
      <c r="T244" s="107">
        <f>_xlfn.IFERROR(IF(Simulador!$U$29=1,0,IF($B244&lt;=0,0,$B244*Simulador!$AA$42)),0)</f>
        <v>0</v>
      </c>
      <c r="U244" s="107"/>
      <c r="V244" s="107">
        <f>_xlfn.IFERROR(IF(Simulador!$U$29=1,0,IF($B244&lt;=0,0,IF(Simulador!$D$22&gt;0,Simulador!$D$22,Simulador!$O$24)*Simulador!$AA$43)),0)</f>
        <v>0</v>
      </c>
      <c r="W244" s="107"/>
      <c r="X244" s="107"/>
      <c r="Y244" s="107">
        <f t="shared" si="108"/>
        <v>0</v>
      </c>
      <c r="Z244" s="14"/>
      <c r="AA244" s="19"/>
      <c r="AB244" s="24"/>
      <c r="AC244" s="303">
        <v>19</v>
      </c>
      <c r="AD244" s="301">
        <v>2</v>
      </c>
      <c r="AE244" s="400">
        <f t="shared" si="114"/>
        <v>0</v>
      </c>
      <c r="AF244" s="279">
        <f t="shared" si="115"/>
        <v>0</v>
      </c>
      <c r="AG244" s="279">
        <f t="shared" si="116"/>
        <v>0</v>
      </c>
      <c r="AH244" s="418">
        <f t="shared" si="117"/>
        <v>0</v>
      </c>
      <c r="AI244" s="296">
        <f>IF(Simulador!$T$67=1,'Tabla de amortizacion'!AJ244,'Tabla de amortizacion'!AR244)</f>
        <v>0.09</v>
      </c>
      <c r="AJ244" s="297">
        <f>AJ243</f>
        <v>0.09</v>
      </c>
      <c r="AK244" s="298">
        <f t="shared" si="118"/>
        <v>0</v>
      </c>
      <c r="AL244" s="298"/>
      <c r="AM244" s="304"/>
      <c r="AN244" s="279"/>
      <c r="AO244" s="520">
        <f t="shared" si="104"/>
        <v>0.092</v>
      </c>
      <c r="AP244" s="299">
        <v>0</v>
      </c>
      <c r="AQ244" s="414">
        <f t="shared" si="119"/>
        <v>0</v>
      </c>
      <c r="AR244" s="300">
        <f>IF(AND(Simulador!$T$67=2,Simulador!$T$61=1),AL244,IF(AND(Simulador!$T$67=2,Simulador!$T$61=2),AM244,IF(AND(Simulador!$T$67=2,Simulador!$T$61=3),AN244,AO244)))</f>
        <v>0.092</v>
      </c>
      <c r="AS244" s="281"/>
      <c r="AT244" s="70">
        <f t="shared" si="129"/>
        <v>0</v>
      </c>
      <c r="AU244" s="70">
        <f t="shared" si="120"/>
        <v>0</v>
      </c>
      <c r="AV244" s="71">
        <f t="shared" si="109"/>
        <v>0</v>
      </c>
      <c r="AW244" s="70">
        <f t="shared" si="110"/>
        <v>0</v>
      </c>
      <c r="AX244" s="70">
        <f t="shared" si="121"/>
        <v>0</v>
      </c>
      <c r="AY244" s="72">
        <f t="shared" si="111"/>
      </c>
      <c r="AZ244" s="70">
        <f>_xlfn.IFERROR(IF(Simulador!$U$29=1,0,IF($AT244&lt;=0.01,0,$AT244*Simulador!$AA$42)),0)+_xlfn.IFERROR(IF(Simulador!$U$29=1,0,IF($AT244&lt;=0.01,0,IF(Simulador!$D$22&gt;0,Simulador!$D$22,Simulador!$O$24)*Simulador!$AA$43)),0)</f>
        <v>0</v>
      </c>
      <c r="BA244" s="73"/>
      <c r="BB244" s="70">
        <f t="shared" si="112"/>
        <v>0</v>
      </c>
      <c r="BC244">
        <f t="shared" si="122"/>
        <v>0</v>
      </c>
      <c r="BD244" s="431">
        <f t="shared" si="123"/>
      </c>
      <c r="BE244" s="432">
        <f t="shared" si="124"/>
        <v>0</v>
      </c>
      <c r="BF244" s="69">
        <v>230</v>
      </c>
      <c r="BG244" s="38"/>
      <c r="BJ244" s="69"/>
      <c r="BM244" s="432"/>
    </row>
    <row r="245" spans="1:65" ht="12">
      <c r="A245" s="531">
        <v>231</v>
      </c>
      <c r="B245" s="106">
        <f t="shared" si="125"/>
        <v>0</v>
      </c>
      <c r="C245" s="106"/>
      <c r="D245" s="107">
        <f>IF(B245+F245-D244&lt;=0,B245+F245,IF(AND(OR(Simulador!$U$38=2,Simulador!$U$38=7),J244=0),D244*(1+AA245),IF($AE$3=2,B245*AQ245,D244*(1+AA245))))</f>
        <v>0</v>
      </c>
      <c r="E245" s="107"/>
      <c r="F245" s="107">
        <f t="shared" si="106"/>
        <v>0</v>
      </c>
      <c r="G245" s="107"/>
      <c r="H245" s="107">
        <f t="shared" si="126"/>
        <v>0</v>
      </c>
      <c r="I245" s="108"/>
      <c r="J245" s="109"/>
      <c r="K245" s="108"/>
      <c r="L245" s="107">
        <f>IF(Simulador!$T$40=1,0,J245*Simulador!$W$38*1.16)</f>
        <v>0</v>
      </c>
      <c r="M245" s="107"/>
      <c r="N245" s="111"/>
      <c r="O245" s="13"/>
      <c r="P245" s="664">
        <f t="shared" si="107"/>
      </c>
      <c r="Q245" s="3"/>
      <c r="R245" s="107">
        <f t="shared" si="113"/>
        <v>0</v>
      </c>
      <c r="S245" s="107"/>
      <c r="T245" s="107">
        <f>_xlfn.IFERROR(IF(Simulador!$U$29=1,0,IF($B245&lt;=0,0,$B245*Simulador!$AA$42)),0)</f>
        <v>0</v>
      </c>
      <c r="U245" s="107"/>
      <c r="V245" s="107">
        <f>_xlfn.IFERROR(IF(Simulador!$U$29=1,0,IF($B245&lt;=0,0,IF(Simulador!$D$22&gt;0,Simulador!$D$22,Simulador!$O$24)*Simulador!$AA$43)),0)</f>
        <v>0</v>
      </c>
      <c r="W245" s="107"/>
      <c r="X245" s="107"/>
      <c r="Y245" s="107">
        <f t="shared" si="108"/>
        <v>0</v>
      </c>
      <c r="Z245" s="14"/>
      <c r="AA245" s="19"/>
      <c r="AB245" s="24"/>
      <c r="AC245" s="303">
        <v>19</v>
      </c>
      <c r="AD245" s="301">
        <v>3</v>
      </c>
      <c r="AE245" s="400">
        <f t="shared" si="114"/>
        <v>0</v>
      </c>
      <c r="AF245" s="279">
        <f t="shared" si="115"/>
        <v>0</v>
      </c>
      <c r="AG245" s="279">
        <f t="shared" si="116"/>
        <v>0</v>
      </c>
      <c r="AH245" s="418">
        <f t="shared" si="117"/>
        <v>0</v>
      </c>
      <c r="AI245" s="296">
        <f>IF(Simulador!$T$67=1,'Tabla de amortizacion'!AJ245,'Tabla de amortizacion'!AR245)</f>
        <v>0.09</v>
      </c>
      <c r="AJ245" s="297">
        <f aca="true" t="shared" si="131" ref="AJ245:AJ254">AJ244</f>
        <v>0.09</v>
      </c>
      <c r="AK245" s="298">
        <f t="shared" si="118"/>
        <v>0</v>
      </c>
      <c r="AL245" s="298"/>
      <c r="AM245" s="304"/>
      <c r="AN245" s="279"/>
      <c r="AO245" s="520">
        <f t="shared" si="104"/>
        <v>0.092</v>
      </c>
      <c r="AP245" s="299">
        <v>0</v>
      </c>
      <c r="AQ245" s="414">
        <f t="shared" si="119"/>
        <v>0</v>
      </c>
      <c r="AR245" s="300">
        <f>IF(AND(Simulador!$T$67=2,Simulador!$T$61=1),AL245,IF(AND(Simulador!$T$67=2,Simulador!$T$61=2),AM245,IF(AND(Simulador!$T$67=2,Simulador!$T$61=3),AN245,AO245)))</f>
        <v>0.092</v>
      </c>
      <c r="AS245" s="281"/>
      <c r="AT245" s="70">
        <f t="shared" si="129"/>
        <v>0</v>
      </c>
      <c r="AU245" s="70">
        <f t="shared" si="120"/>
        <v>0</v>
      </c>
      <c r="AV245" s="71">
        <f t="shared" si="109"/>
        <v>0</v>
      </c>
      <c r="AW245" s="70">
        <f t="shared" si="110"/>
        <v>0</v>
      </c>
      <c r="AX245" s="70">
        <f t="shared" si="121"/>
        <v>0</v>
      </c>
      <c r="AY245" s="72">
        <f t="shared" si="111"/>
      </c>
      <c r="AZ245" s="70">
        <f>_xlfn.IFERROR(IF(Simulador!$U$29=1,0,IF($AT245&lt;=0.01,0,$AT245*Simulador!$AA$42)),0)+_xlfn.IFERROR(IF(Simulador!$U$29=1,0,IF($AT245&lt;=0.01,0,IF(Simulador!$D$22&gt;0,Simulador!$D$22,Simulador!$O$24)*Simulador!$AA$43)),0)</f>
        <v>0</v>
      </c>
      <c r="BA245" s="73"/>
      <c r="BB245" s="70">
        <f t="shared" si="112"/>
        <v>0</v>
      </c>
      <c r="BC245">
        <f t="shared" si="122"/>
        <v>0</v>
      </c>
      <c r="BD245" s="431">
        <f t="shared" si="123"/>
      </c>
      <c r="BE245" s="432">
        <f t="shared" si="124"/>
        <v>0</v>
      </c>
      <c r="BF245" s="69">
        <v>231</v>
      </c>
      <c r="BG245" s="38"/>
      <c r="BJ245" s="69"/>
      <c r="BM245" s="432"/>
    </row>
    <row r="246" spans="1:65" ht="12">
      <c r="A246" s="531">
        <v>232</v>
      </c>
      <c r="B246" s="106">
        <f t="shared" si="125"/>
        <v>0</v>
      </c>
      <c r="C246" s="106"/>
      <c r="D246" s="107">
        <f>IF(B246+F246-D245&lt;=0,B246+F246,IF(AND(OR(Simulador!$U$38=2,Simulador!$U$38=7),J245=0),D245*(1+AA246),IF($AE$3=2,B246*AQ246,D245*(1+AA246))))</f>
        <v>0</v>
      </c>
      <c r="E246" s="107"/>
      <c r="F246" s="107">
        <f t="shared" si="106"/>
        <v>0</v>
      </c>
      <c r="G246" s="107"/>
      <c r="H246" s="107">
        <f t="shared" si="126"/>
        <v>0</v>
      </c>
      <c r="I246" s="108"/>
      <c r="J246" s="109"/>
      <c r="K246" s="108"/>
      <c r="L246" s="107">
        <f>IF(Simulador!$T$40=1,0,J246*Simulador!$W$38*1.16)</f>
        <v>0</v>
      </c>
      <c r="M246" s="107"/>
      <c r="N246" s="110">
        <f>IF(B246-H246=0,0,N244)</f>
        <v>0</v>
      </c>
      <c r="O246" s="13"/>
      <c r="P246" s="664">
        <f t="shared" si="107"/>
      </c>
      <c r="Q246" s="3"/>
      <c r="R246" s="107">
        <f t="shared" si="113"/>
        <v>0</v>
      </c>
      <c r="S246" s="107"/>
      <c r="T246" s="107">
        <f>_xlfn.IFERROR(IF(Simulador!$U$29=1,0,IF($B246&lt;=0,0,$B246*Simulador!$AA$42)),0)</f>
        <v>0</v>
      </c>
      <c r="U246" s="107"/>
      <c r="V246" s="107">
        <f>_xlfn.IFERROR(IF(Simulador!$U$29=1,0,IF($B246&lt;=0,0,IF(Simulador!$D$22&gt;0,Simulador!$D$22,Simulador!$O$24)*Simulador!$AA$43)),0)</f>
        <v>0</v>
      </c>
      <c r="W246" s="107"/>
      <c r="X246" s="107"/>
      <c r="Y246" s="107">
        <f t="shared" si="108"/>
        <v>0</v>
      </c>
      <c r="Z246" s="14"/>
      <c r="AA246" s="19"/>
      <c r="AB246" s="24"/>
      <c r="AC246" s="303">
        <v>19</v>
      </c>
      <c r="AD246" s="295">
        <v>4</v>
      </c>
      <c r="AE246" s="400">
        <f t="shared" si="114"/>
        <v>0</v>
      </c>
      <c r="AF246" s="279">
        <f t="shared" si="115"/>
        <v>0</v>
      </c>
      <c r="AG246" s="279">
        <f t="shared" si="116"/>
        <v>0</v>
      </c>
      <c r="AH246" s="418">
        <f t="shared" si="117"/>
        <v>0</v>
      </c>
      <c r="AI246" s="296">
        <f>IF(Simulador!$T$67=1,'Tabla de amortizacion'!AJ246,'Tabla de amortizacion'!AR246)</f>
        <v>0.09</v>
      </c>
      <c r="AJ246" s="297">
        <f t="shared" si="131"/>
        <v>0.09</v>
      </c>
      <c r="AK246" s="298">
        <f t="shared" si="118"/>
        <v>0</v>
      </c>
      <c r="AL246" s="298"/>
      <c r="AM246" s="304"/>
      <c r="AN246" s="279"/>
      <c r="AO246" s="520">
        <f t="shared" si="104"/>
        <v>0.092</v>
      </c>
      <c r="AP246" s="299">
        <v>0</v>
      </c>
      <c r="AQ246" s="414">
        <f t="shared" si="119"/>
        <v>0</v>
      </c>
      <c r="AR246" s="300">
        <f>IF(AND(Simulador!$T$67=2,Simulador!$T$61=1),AL246,IF(AND(Simulador!$T$67=2,Simulador!$T$61=2),AM246,IF(AND(Simulador!$T$67=2,Simulador!$T$61=3),AN246,AO246)))</f>
        <v>0.092</v>
      </c>
      <c r="AS246" s="281"/>
      <c r="AT246" s="70">
        <f t="shared" si="129"/>
        <v>0</v>
      </c>
      <c r="AU246" s="70">
        <f t="shared" si="120"/>
        <v>0</v>
      </c>
      <c r="AV246" s="71">
        <f t="shared" si="109"/>
        <v>0</v>
      </c>
      <c r="AW246" s="70">
        <f t="shared" si="110"/>
        <v>0</v>
      </c>
      <c r="AX246" s="70">
        <f t="shared" si="121"/>
        <v>0</v>
      </c>
      <c r="AY246" s="72">
        <f t="shared" si="111"/>
      </c>
      <c r="AZ246" s="70">
        <f>_xlfn.IFERROR(IF(Simulador!$U$29=1,0,IF($AT246&lt;=0.01,0,$AT246*Simulador!$AA$42)),0)+_xlfn.IFERROR(IF(Simulador!$U$29=1,0,IF($AT246&lt;=0.01,0,IF(Simulador!$D$22&gt;0,Simulador!$D$22,Simulador!$O$24)*Simulador!$AA$43)),0)</f>
        <v>0</v>
      </c>
      <c r="BA246" s="73"/>
      <c r="BB246" s="70">
        <f t="shared" si="112"/>
        <v>0</v>
      </c>
      <c r="BC246">
        <f t="shared" si="122"/>
        <v>0</v>
      </c>
      <c r="BD246" s="431">
        <f t="shared" si="123"/>
      </c>
      <c r="BE246" s="432">
        <f t="shared" si="124"/>
        <v>0</v>
      </c>
      <c r="BF246" s="69">
        <v>232</v>
      </c>
      <c r="BG246" s="38"/>
      <c r="BJ246" s="69"/>
      <c r="BM246" s="432"/>
    </row>
    <row r="247" spans="1:65" ht="12">
      <c r="A247" s="531">
        <v>233</v>
      </c>
      <c r="B247" s="106">
        <f t="shared" si="125"/>
        <v>0</v>
      </c>
      <c r="C247" s="106"/>
      <c r="D247" s="107">
        <f>IF(B247+F247-D246&lt;=0,B247+F247,IF(AND(OR(Simulador!$U$38=2,Simulador!$U$38=7),J246=0),D246*(1+AA247),IF($AE$3=2,B247*AQ247,D246*(1+AA247))))</f>
        <v>0</v>
      </c>
      <c r="E247" s="107"/>
      <c r="F247" s="107">
        <f t="shared" si="106"/>
        <v>0</v>
      </c>
      <c r="G247" s="107"/>
      <c r="H247" s="107">
        <f t="shared" si="126"/>
        <v>0</v>
      </c>
      <c r="I247" s="108"/>
      <c r="J247" s="109"/>
      <c r="K247" s="108"/>
      <c r="L247" s="107">
        <f>IF(Simulador!$T$40=1,0,J247*Simulador!$W$38*1.16)</f>
        <v>0</v>
      </c>
      <c r="M247" s="107"/>
      <c r="N247" s="111"/>
      <c r="O247" s="13"/>
      <c r="P247" s="664">
        <f t="shared" si="107"/>
      </c>
      <c r="Q247" s="3"/>
      <c r="R247" s="107">
        <f t="shared" si="113"/>
        <v>0</v>
      </c>
      <c r="S247" s="107"/>
      <c r="T247" s="107">
        <f>_xlfn.IFERROR(IF(Simulador!$U$29=1,0,IF($B247&lt;=0,0,$B247*Simulador!$AA$42)),0)</f>
        <v>0</v>
      </c>
      <c r="U247" s="107"/>
      <c r="V247" s="107">
        <f>_xlfn.IFERROR(IF(Simulador!$U$29=1,0,IF($B247&lt;=0,0,IF(Simulador!$D$22&gt;0,Simulador!$D$22,Simulador!$O$24)*Simulador!$AA$43)),0)</f>
        <v>0</v>
      </c>
      <c r="W247" s="107"/>
      <c r="X247" s="107"/>
      <c r="Y247" s="107">
        <f t="shared" si="108"/>
        <v>0</v>
      </c>
      <c r="Z247" s="14"/>
      <c r="AA247" s="19"/>
      <c r="AB247" s="24"/>
      <c r="AC247" s="303">
        <v>19</v>
      </c>
      <c r="AD247" s="295">
        <v>5</v>
      </c>
      <c r="AE247" s="400">
        <f t="shared" si="114"/>
        <v>0</v>
      </c>
      <c r="AF247" s="279">
        <f t="shared" si="115"/>
        <v>0</v>
      </c>
      <c r="AG247" s="279">
        <f t="shared" si="116"/>
        <v>0</v>
      </c>
      <c r="AH247" s="418">
        <f t="shared" si="117"/>
        <v>0</v>
      </c>
      <c r="AI247" s="296">
        <f>IF(Simulador!$T$67=1,'Tabla de amortizacion'!AJ247,'Tabla de amortizacion'!AR247)</f>
        <v>0.09</v>
      </c>
      <c r="AJ247" s="297">
        <f t="shared" si="131"/>
        <v>0.09</v>
      </c>
      <c r="AK247" s="298">
        <f t="shared" si="118"/>
        <v>0</v>
      </c>
      <c r="AL247" s="298"/>
      <c r="AM247" s="304"/>
      <c r="AN247" s="279"/>
      <c r="AO247" s="520">
        <f t="shared" si="104"/>
        <v>0.092</v>
      </c>
      <c r="AP247" s="299">
        <v>0</v>
      </c>
      <c r="AQ247" s="414">
        <f t="shared" si="119"/>
        <v>0</v>
      </c>
      <c r="AR247" s="300">
        <f>IF(AND(Simulador!$T$67=2,Simulador!$T$61=1),AL247,IF(AND(Simulador!$T$67=2,Simulador!$T$61=2),AM247,IF(AND(Simulador!$T$67=2,Simulador!$T$61=3),AN247,AO247)))</f>
        <v>0.092</v>
      </c>
      <c r="AS247" s="281"/>
      <c r="AT247" s="70">
        <f t="shared" si="129"/>
        <v>0</v>
      </c>
      <c r="AU247" s="70">
        <f t="shared" si="120"/>
        <v>0</v>
      </c>
      <c r="AV247" s="71">
        <f t="shared" si="109"/>
        <v>0</v>
      </c>
      <c r="AW247" s="70">
        <f t="shared" si="110"/>
        <v>0</v>
      </c>
      <c r="AX247" s="70">
        <f t="shared" si="121"/>
        <v>0</v>
      </c>
      <c r="AY247" s="72">
        <f t="shared" si="111"/>
      </c>
      <c r="AZ247" s="70">
        <f>_xlfn.IFERROR(IF(Simulador!$U$29=1,0,IF($AT247&lt;=0.01,0,$AT247*Simulador!$AA$42)),0)+_xlfn.IFERROR(IF(Simulador!$U$29=1,0,IF($AT247&lt;=0.01,0,IF(Simulador!$D$22&gt;0,Simulador!$D$22,Simulador!$O$24)*Simulador!$AA$43)),0)</f>
        <v>0</v>
      </c>
      <c r="BA247" s="73"/>
      <c r="BB247" s="70">
        <f t="shared" si="112"/>
        <v>0</v>
      </c>
      <c r="BC247">
        <f t="shared" si="122"/>
        <v>0</v>
      </c>
      <c r="BD247" s="431">
        <f t="shared" si="123"/>
      </c>
      <c r="BE247" s="432">
        <f t="shared" si="124"/>
        <v>0</v>
      </c>
      <c r="BF247" s="69">
        <v>233</v>
      </c>
      <c r="BG247" s="38"/>
      <c r="BJ247" s="69"/>
      <c r="BM247" s="432"/>
    </row>
    <row r="248" spans="1:65" ht="12">
      <c r="A248" s="531">
        <v>234</v>
      </c>
      <c r="B248" s="106">
        <f t="shared" si="125"/>
        <v>0</v>
      </c>
      <c r="C248" s="106"/>
      <c r="D248" s="107">
        <f>IF(B248+F248-D247&lt;=0,B248+F248,IF(AND(OR(Simulador!$U$38=2,Simulador!$U$38=7),J247=0),D247*(1+AA248),IF($AE$3=2,B248*AQ248,D247*(1+AA248))))</f>
        <v>0</v>
      </c>
      <c r="E248" s="107"/>
      <c r="F248" s="107">
        <f t="shared" si="106"/>
        <v>0</v>
      </c>
      <c r="G248" s="107"/>
      <c r="H248" s="107">
        <f t="shared" si="126"/>
        <v>0</v>
      </c>
      <c r="I248" s="108"/>
      <c r="J248" s="109"/>
      <c r="K248" s="108"/>
      <c r="L248" s="107">
        <f>IF(Simulador!$T$40=1,0,J248*Simulador!$W$38*1.16)</f>
        <v>0</v>
      </c>
      <c r="M248" s="107"/>
      <c r="N248" s="110">
        <f>IF(B248-H248=0,0,N246)</f>
        <v>0</v>
      </c>
      <c r="O248" s="13"/>
      <c r="P248" s="664">
        <f t="shared" si="107"/>
      </c>
      <c r="Q248" s="3"/>
      <c r="R248" s="107">
        <f t="shared" si="113"/>
        <v>0</v>
      </c>
      <c r="S248" s="107"/>
      <c r="T248" s="107">
        <f>_xlfn.IFERROR(IF(Simulador!$U$29=1,0,IF($B248&lt;=0,0,$B248*Simulador!$AA$42)),0)</f>
        <v>0</v>
      </c>
      <c r="U248" s="107"/>
      <c r="V248" s="107">
        <f>_xlfn.IFERROR(IF(Simulador!$U$29=1,0,IF($B248&lt;=0,0,IF(Simulador!$D$22&gt;0,Simulador!$D$22,Simulador!$O$24)*Simulador!$AA$43)),0)</f>
        <v>0</v>
      </c>
      <c r="W248" s="107"/>
      <c r="X248" s="107"/>
      <c r="Y248" s="107">
        <f t="shared" si="108"/>
        <v>0</v>
      </c>
      <c r="Z248" s="14"/>
      <c r="AA248" s="19"/>
      <c r="AB248" s="24"/>
      <c r="AC248" s="303">
        <v>19</v>
      </c>
      <c r="AD248" s="295">
        <v>6</v>
      </c>
      <c r="AE248" s="400">
        <f t="shared" si="114"/>
        <v>0</v>
      </c>
      <c r="AF248" s="279">
        <f t="shared" si="115"/>
        <v>0</v>
      </c>
      <c r="AG248" s="279">
        <f t="shared" si="116"/>
        <v>0</v>
      </c>
      <c r="AH248" s="418">
        <f t="shared" si="117"/>
        <v>0</v>
      </c>
      <c r="AI248" s="296">
        <f>IF(Simulador!$T$67=1,'Tabla de amortizacion'!AJ248,'Tabla de amortizacion'!AR248)</f>
        <v>0.09</v>
      </c>
      <c r="AJ248" s="297">
        <f t="shared" si="131"/>
        <v>0.09</v>
      </c>
      <c r="AK248" s="298">
        <f t="shared" si="118"/>
        <v>0</v>
      </c>
      <c r="AL248" s="298"/>
      <c r="AM248" s="304"/>
      <c r="AN248" s="279"/>
      <c r="AO248" s="520">
        <f t="shared" si="104"/>
        <v>0.092</v>
      </c>
      <c r="AP248" s="299">
        <v>0</v>
      </c>
      <c r="AQ248" s="414">
        <f t="shared" si="119"/>
        <v>0</v>
      </c>
      <c r="AR248" s="300">
        <f>IF(AND(Simulador!$T$67=2,Simulador!$T$61=1),AL248,IF(AND(Simulador!$T$67=2,Simulador!$T$61=2),AM248,IF(AND(Simulador!$T$67=2,Simulador!$T$61=3),AN248,AO248)))</f>
        <v>0.092</v>
      </c>
      <c r="AS248" s="281"/>
      <c r="AT248" s="70">
        <f t="shared" si="129"/>
        <v>0</v>
      </c>
      <c r="AU248" s="70">
        <f t="shared" si="120"/>
        <v>0</v>
      </c>
      <c r="AV248" s="71">
        <f t="shared" si="109"/>
        <v>0</v>
      </c>
      <c r="AW248" s="70">
        <f t="shared" si="110"/>
        <v>0</v>
      </c>
      <c r="AX248" s="70">
        <f t="shared" si="121"/>
        <v>0</v>
      </c>
      <c r="AY248" s="72">
        <f t="shared" si="111"/>
      </c>
      <c r="AZ248" s="70">
        <f>_xlfn.IFERROR(IF(Simulador!$U$29=1,0,IF($AT248&lt;=0.01,0,$AT248*Simulador!$AA$42)),0)+_xlfn.IFERROR(IF(Simulador!$U$29=1,0,IF($AT248&lt;=0.01,0,IF(Simulador!$D$22&gt;0,Simulador!$D$22,Simulador!$O$24)*Simulador!$AA$43)),0)</f>
        <v>0</v>
      </c>
      <c r="BA248" s="73"/>
      <c r="BB248" s="70">
        <f t="shared" si="112"/>
        <v>0</v>
      </c>
      <c r="BC248">
        <f t="shared" si="122"/>
        <v>0</v>
      </c>
      <c r="BD248" s="431">
        <f t="shared" si="123"/>
      </c>
      <c r="BE248" s="432">
        <f t="shared" si="124"/>
        <v>0</v>
      </c>
      <c r="BF248" s="69">
        <v>234</v>
      </c>
      <c r="BG248" s="38"/>
      <c r="BJ248" s="69"/>
      <c r="BM248" s="432"/>
    </row>
    <row r="249" spans="1:65" ht="12">
      <c r="A249" s="531">
        <v>235</v>
      </c>
      <c r="B249" s="106">
        <f t="shared" si="125"/>
        <v>0</v>
      </c>
      <c r="C249" s="106"/>
      <c r="D249" s="107">
        <f>IF(B249+F249-D248&lt;=0,B249+F249,IF(AND(OR(Simulador!$U$38=2,Simulador!$U$38=7),J248=0),D248*(1+AA249),IF($AE$3=2,B249*AQ249,D248*(1+AA249))))</f>
        <v>0</v>
      </c>
      <c r="E249" s="107"/>
      <c r="F249" s="107">
        <f t="shared" si="106"/>
        <v>0</v>
      </c>
      <c r="G249" s="107"/>
      <c r="H249" s="107">
        <f t="shared" si="126"/>
        <v>0</v>
      </c>
      <c r="I249" s="108"/>
      <c r="J249" s="109"/>
      <c r="K249" s="108"/>
      <c r="L249" s="107">
        <f>IF(Simulador!$T$40=1,0,J249*Simulador!$W$38*1.16)</f>
        <v>0</v>
      </c>
      <c r="M249" s="107"/>
      <c r="N249" s="111"/>
      <c r="O249" s="13"/>
      <c r="P249" s="664">
        <f t="shared" si="107"/>
      </c>
      <c r="Q249" s="3"/>
      <c r="R249" s="107">
        <f t="shared" si="113"/>
        <v>0</v>
      </c>
      <c r="S249" s="107"/>
      <c r="T249" s="107">
        <f>_xlfn.IFERROR(IF(Simulador!$U$29=1,0,IF($B249&lt;=0,0,$B249*Simulador!$AA$42)),0)</f>
        <v>0</v>
      </c>
      <c r="U249" s="107"/>
      <c r="V249" s="107">
        <f>_xlfn.IFERROR(IF(Simulador!$U$29=1,0,IF($B249&lt;=0,0,IF(Simulador!$D$22&gt;0,Simulador!$D$22,Simulador!$O$24)*Simulador!$AA$43)),0)</f>
        <v>0</v>
      </c>
      <c r="W249" s="107"/>
      <c r="X249" s="107"/>
      <c r="Y249" s="107">
        <f t="shared" si="108"/>
        <v>0</v>
      </c>
      <c r="Z249" s="14"/>
      <c r="AA249" s="19"/>
      <c r="AB249" s="24"/>
      <c r="AC249" s="303">
        <v>19</v>
      </c>
      <c r="AD249" s="295">
        <v>7</v>
      </c>
      <c r="AE249" s="400">
        <f t="shared" si="114"/>
        <v>0</v>
      </c>
      <c r="AF249" s="279">
        <f t="shared" si="115"/>
        <v>0</v>
      </c>
      <c r="AG249" s="279">
        <f t="shared" si="116"/>
        <v>0</v>
      </c>
      <c r="AH249" s="418">
        <f t="shared" si="117"/>
        <v>0</v>
      </c>
      <c r="AI249" s="296">
        <f>IF(Simulador!$T$67=1,'Tabla de amortizacion'!AJ249,'Tabla de amortizacion'!AR249)</f>
        <v>0.09</v>
      </c>
      <c r="AJ249" s="297">
        <f t="shared" si="131"/>
        <v>0.09</v>
      </c>
      <c r="AK249" s="298">
        <f t="shared" si="118"/>
        <v>0</v>
      </c>
      <c r="AL249" s="298"/>
      <c r="AM249" s="304"/>
      <c r="AN249" s="279"/>
      <c r="AO249" s="520">
        <f t="shared" si="104"/>
        <v>0.092</v>
      </c>
      <c r="AP249" s="299">
        <v>0</v>
      </c>
      <c r="AQ249" s="414">
        <f t="shared" si="119"/>
        <v>0</v>
      </c>
      <c r="AR249" s="300">
        <f>IF(AND(Simulador!$T$67=2,Simulador!$T$61=1),AL249,IF(AND(Simulador!$T$67=2,Simulador!$T$61=2),AM249,IF(AND(Simulador!$T$67=2,Simulador!$T$61=3),AN249,AO249)))</f>
        <v>0.092</v>
      </c>
      <c r="AS249" s="281"/>
      <c r="AT249" s="70">
        <f t="shared" si="129"/>
        <v>0</v>
      </c>
      <c r="AU249" s="70">
        <f t="shared" si="120"/>
        <v>0</v>
      </c>
      <c r="AV249" s="71">
        <f t="shared" si="109"/>
        <v>0</v>
      </c>
      <c r="AW249" s="70">
        <f t="shared" si="110"/>
        <v>0</v>
      </c>
      <c r="AX249" s="70">
        <f t="shared" si="121"/>
        <v>0</v>
      </c>
      <c r="AY249" s="72">
        <f t="shared" si="111"/>
      </c>
      <c r="AZ249" s="70">
        <f>_xlfn.IFERROR(IF(Simulador!$U$29=1,0,IF($AT249&lt;=0.01,0,$AT249*Simulador!$AA$42)),0)+_xlfn.IFERROR(IF(Simulador!$U$29=1,0,IF($AT249&lt;=0.01,0,IF(Simulador!$D$22&gt;0,Simulador!$D$22,Simulador!$O$24)*Simulador!$AA$43)),0)</f>
        <v>0</v>
      </c>
      <c r="BA249" s="73"/>
      <c r="BB249" s="70">
        <f t="shared" si="112"/>
        <v>0</v>
      </c>
      <c r="BC249">
        <f t="shared" si="122"/>
        <v>0</v>
      </c>
      <c r="BD249" s="431">
        <f t="shared" si="123"/>
      </c>
      <c r="BE249" s="432">
        <f t="shared" si="124"/>
        <v>0</v>
      </c>
      <c r="BF249" s="69">
        <v>235</v>
      </c>
      <c r="BG249" s="38"/>
      <c r="BJ249" s="69"/>
      <c r="BM249" s="432"/>
    </row>
    <row r="250" spans="1:65" ht="12">
      <c r="A250" s="531">
        <v>236</v>
      </c>
      <c r="B250" s="106">
        <f t="shared" si="125"/>
        <v>0</v>
      </c>
      <c r="C250" s="106"/>
      <c r="D250" s="107">
        <f>IF(B250+F250-D249&lt;=0,B250+F250,IF(AND(OR(Simulador!$U$38=2,Simulador!$U$38=7),J249=0),D249*(1+AA250),IF($AE$3=2,B250*AQ250,D249*(1+AA250))))</f>
        <v>0</v>
      </c>
      <c r="E250" s="107"/>
      <c r="F250" s="107">
        <f t="shared" si="106"/>
        <v>0</v>
      </c>
      <c r="G250" s="107"/>
      <c r="H250" s="107">
        <f t="shared" si="126"/>
        <v>0</v>
      </c>
      <c r="I250" s="108"/>
      <c r="J250" s="109"/>
      <c r="K250" s="108"/>
      <c r="L250" s="107">
        <f>IF(Simulador!$T$40=1,0,J250*Simulador!$W$38*1.16)</f>
        <v>0</v>
      </c>
      <c r="M250" s="107"/>
      <c r="N250" s="110">
        <f>IF(B250-H250=0,0,N248)</f>
        <v>0</v>
      </c>
      <c r="O250" s="13"/>
      <c r="P250" s="664">
        <f t="shared" si="107"/>
      </c>
      <c r="Q250" s="3"/>
      <c r="R250" s="107">
        <f t="shared" si="113"/>
        <v>0</v>
      </c>
      <c r="S250" s="107"/>
      <c r="T250" s="107">
        <f>_xlfn.IFERROR(IF(Simulador!$U$29=1,0,IF($B250&lt;=0,0,$B250*Simulador!$AA$42)),0)</f>
        <v>0</v>
      </c>
      <c r="U250" s="107"/>
      <c r="V250" s="107">
        <f>_xlfn.IFERROR(IF(Simulador!$U$29=1,0,IF($B250&lt;=0,0,IF(Simulador!$D$22&gt;0,Simulador!$D$22,Simulador!$O$24)*Simulador!$AA$43)),0)</f>
        <v>0</v>
      </c>
      <c r="W250" s="107"/>
      <c r="X250" s="107"/>
      <c r="Y250" s="107">
        <f t="shared" si="108"/>
        <v>0</v>
      </c>
      <c r="Z250" s="14"/>
      <c r="AA250" s="19"/>
      <c r="AB250" s="24"/>
      <c r="AC250" s="303">
        <v>19</v>
      </c>
      <c r="AD250" s="295">
        <v>8</v>
      </c>
      <c r="AE250" s="400">
        <f t="shared" si="114"/>
        <v>0</v>
      </c>
      <c r="AF250" s="279">
        <f t="shared" si="115"/>
        <v>0</v>
      </c>
      <c r="AG250" s="279">
        <f t="shared" si="116"/>
        <v>0</v>
      </c>
      <c r="AH250" s="418">
        <f t="shared" si="117"/>
        <v>0</v>
      </c>
      <c r="AI250" s="296">
        <f>IF(Simulador!$T$67=1,'Tabla de amortizacion'!AJ250,'Tabla de amortizacion'!AR250)</f>
        <v>0.09</v>
      </c>
      <c r="AJ250" s="297">
        <f t="shared" si="131"/>
        <v>0.09</v>
      </c>
      <c r="AK250" s="298">
        <f t="shared" si="118"/>
        <v>0</v>
      </c>
      <c r="AL250" s="298"/>
      <c r="AM250" s="304"/>
      <c r="AN250" s="279"/>
      <c r="AO250" s="520">
        <f t="shared" si="104"/>
        <v>0.092</v>
      </c>
      <c r="AP250" s="299">
        <v>0</v>
      </c>
      <c r="AQ250" s="414">
        <f t="shared" si="119"/>
        <v>0</v>
      </c>
      <c r="AR250" s="300">
        <f>IF(AND(Simulador!$T$67=2,Simulador!$T$61=1),AL250,IF(AND(Simulador!$T$67=2,Simulador!$T$61=2),AM250,IF(AND(Simulador!$T$67=2,Simulador!$T$61=3),AN250,AO250)))</f>
        <v>0.092</v>
      </c>
      <c r="AS250" s="281"/>
      <c r="AT250" s="70">
        <f t="shared" si="129"/>
        <v>0</v>
      </c>
      <c r="AU250" s="70">
        <f t="shared" si="120"/>
        <v>0</v>
      </c>
      <c r="AV250" s="71">
        <f t="shared" si="109"/>
        <v>0</v>
      </c>
      <c r="AW250" s="70">
        <f t="shared" si="110"/>
        <v>0</v>
      </c>
      <c r="AX250" s="70">
        <f t="shared" si="121"/>
        <v>0</v>
      </c>
      <c r="AY250" s="72">
        <f t="shared" si="111"/>
      </c>
      <c r="AZ250" s="70">
        <f>_xlfn.IFERROR(IF(Simulador!$U$29=1,0,IF($AT250&lt;=0.01,0,$AT250*Simulador!$AA$42)),0)+_xlfn.IFERROR(IF(Simulador!$U$29=1,0,IF($AT250&lt;=0.01,0,IF(Simulador!$D$22&gt;0,Simulador!$D$22,Simulador!$O$24)*Simulador!$AA$43)),0)</f>
        <v>0</v>
      </c>
      <c r="BA250" s="73"/>
      <c r="BB250" s="70">
        <f t="shared" si="112"/>
        <v>0</v>
      </c>
      <c r="BC250">
        <f t="shared" si="122"/>
        <v>0</v>
      </c>
      <c r="BD250" s="431">
        <f t="shared" si="123"/>
      </c>
      <c r="BE250" s="432">
        <f t="shared" si="124"/>
        <v>0</v>
      </c>
      <c r="BF250" s="69">
        <v>236</v>
      </c>
      <c r="BG250" s="38"/>
      <c r="BJ250" s="69"/>
      <c r="BM250" s="432"/>
    </row>
    <row r="251" spans="1:65" ht="12">
      <c r="A251" s="531">
        <v>237</v>
      </c>
      <c r="B251" s="106">
        <f t="shared" si="125"/>
        <v>0</v>
      </c>
      <c r="C251" s="106"/>
      <c r="D251" s="107">
        <f>IF(B251+F251-D250&lt;=0,B251+F251,IF(AND(OR(Simulador!$U$38=2,Simulador!$U$38=7),J250=0),D250*(1+AA251),IF($AE$3=2,B251*AQ251,D250*(1+AA251))))</f>
        <v>0</v>
      </c>
      <c r="E251" s="107"/>
      <c r="F251" s="107">
        <f t="shared" si="106"/>
        <v>0</v>
      </c>
      <c r="G251" s="107"/>
      <c r="H251" s="107">
        <f t="shared" si="126"/>
        <v>0</v>
      </c>
      <c r="I251" s="108"/>
      <c r="J251" s="109"/>
      <c r="K251" s="108"/>
      <c r="L251" s="107">
        <f>IF(Simulador!$T$40=1,0,J251*Simulador!$W$38*1.16)</f>
        <v>0</v>
      </c>
      <c r="M251" s="107"/>
      <c r="N251" s="111"/>
      <c r="O251" s="13"/>
      <c r="P251" s="664">
        <f t="shared" si="107"/>
      </c>
      <c r="Q251" s="3"/>
      <c r="R251" s="107">
        <f t="shared" si="113"/>
        <v>0</v>
      </c>
      <c r="S251" s="107"/>
      <c r="T251" s="107">
        <f>_xlfn.IFERROR(IF(Simulador!$U$29=1,0,IF($B251&lt;=0,0,$B251*Simulador!$AA$42)),0)</f>
        <v>0</v>
      </c>
      <c r="U251" s="107"/>
      <c r="V251" s="107">
        <f>_xlfn.IFERROR(IF(Simulador!$U$29=1,0,IF($B251&lt;=0,0,IF(Simulador!$D$22&gt;0,Simulador!$D$22,Simulador!$O$24)*Simulador!$AA$43)),0)</f>
        <v>0</v>
      </c>
      <c r="W251" s="107"/>
      <c r="X251" s="107"/>
      <c r="Y251" s="107">
        <f t="shared" si="108"/>
        <v>0</v>
      </c>
      <c r="Z251" s="14"/>
      <c r="AA251" s="19"/>
      <c r="AB251" s="24"/>
      <c r="AC251" s="303">
        <v>19</v>
      </c>
      <c r="AD251" s="302">
        <v>9</v>
      </c>
      <c r="AE251" s="400">
        <f t="shared" si="114"/>
        <v>0</v>
      </c>
      <c r="AF251" s="279">
        <f t="shared" si="115"/>
        <v>0</v>
      </c>
      <c r="AG251" s="279">
        <f t="shared" si="116"/>
        <v>0</v>
      </c>
      <c r="AH251" s="418">
        <f t="shared" si="117"/>
        <v>0</v>
      </c>
      <c r="AI251" s="296">
        <f>IF(Simulador!$T$67=1,'Tabla de amortizacion'!AJ251,'Tabla de amortizacion'!AR251)</f>
        <v>0.09</v>
      </c>
      <c r="AJ251" s="297">
        <f t="shared" si="131"/>
        <v>0.09</v>
      </c>
      <c r="AK251" s="298">
        <f t="shared" si="118"/>
        <v>0</v>
      </c>
      <c r="AL251" s="298"/>
      <c r="AM251" s="304"/>
      <c r="AN251" s="279"/>
      <c r="AO251" s="520">
        <f t="shared" si="104"/>
        <v>0.092</v>
      </c>
      <c r="AP251" s="299">
        <v>0</v>
      </c>
      <c r="AQ251" s="414">
        <f t="shared" si="119"/>
        <v>0</v>
      </c>
      <c r="AR251" s="300">
        <f>IF(AND(Simulador!$T$67=2,Simulador!$T$61=1),AL251,IF(AND(Simulador!$T$67=2,Simulador!$T$61=2),AM251,IF(AND(Simulador!$T$67=2,Simulador!$T$61=3),AN251,AO251)))</f>
        <v>0.092</v>
      </c>
      <c r="AS251" s="281"/>
      <c r="AT251" s="70">
        <f t="shared" si="129"/>
        <v>0</v>
      </c>
      <c r="AU251" s="70">
        <f t="shared" si="120"/>
        <v>0</v>
      </c>
      <c r="AV251" s="71">
        <f t="shared" si="109"/>
        <v>0</v>
      </c>
      <c r="AW251" s="70">
        <f t="shared" si="110"/>
        <v>0</v>
      </c>
      <c r="AX251" s="70">
        <f t="shared" si="121"/>
        <v>0</v>
      </c>
      <c r="AY251" s="72">
        <f t="shared" si="111"/>
      </c>
      <c r="AZ251" s="70">
        <f>_xlfn.IFERROR(IF(Simulador!$U$29=1,0,IF($AT251&lt;=0.01,0,$AT251*Simulador!$AA$42)),0)+_xlfn.IFERROR(IF(Simulador!$U$29=1,0,IF($AT251&lt;=0.01,0,IF(Simulador!$D$22&gt;0,Simulador!$D$22,Simulador!$O$24)*Simulador!$AA$43)),0)</f>
        <v>0</v>
      </c>
      <c r="BA251" s="73"/>
      <c r="BB251" s="70">
        <f t="shared" si="112"/>
        <v>0</v>
      </c>
      <c r="BC251">
        <f t="shared" si="122"/>
        <v>0</v>
      </c>
      <c r="BD251" s="431">
        <f t="shared" si="123"/>
      </c>
      <c r="BE251" s="432">
        <f t="shared" si="124"/>
        <v>0</v>
      </c>
      <c r="BF251" s="69">
        <v>237</v>
      </c>
      <c r="BG251" s="38"/>
      <c r="BJ251" s="69"/>
      <c r="BM251" s="432"/>
    </row>
    <row r="252" spans="1:65" ht="12">
      <c r="A252" s="531">
        <v>238</v>
      </c>
      <c r="B252" s="106">
        <f t="shared" si="125"/>
        <v>0</v>
      </c>
      <c r="C252" s="106"/>
      <c r="D252" s="107">
        <f>IF(B252+F252-D251&lt;=0,B252+F252,IF(AND(OR(Simulador!$U$38=2,Simulador!$U$38=7),J251=0),D251*(1+AA252),IF($AE$3=2,B252*AQ252,D251*(1+AA252))))</f>
        <v>0</v>
      </c>
      <c r="E252" s="107"/>
      <c r="F252" s="107">
        <f t="shared" si="106"/>
        <v>0</v>
      </c>
      <c r="G252" s="107"/>
      <c r="H252" s="107">
        <f t="shared" si="126"/>
        <v>0</v>
      </c>
      <c r="I252" s="108"/>
      <c r="J252" s="109"/>
      <c r="K252" s="108"/>
      <c r="L252" s="107">
        <f>IF(Simulador!$T$40=1,0,J252*Simulador!$W$38*1.16)</f>
        <v>0</v>
      </c>
      <c r="M252" s="107"/>
      <c r="N252" s="110">
        <f>IF(B252-H252=0,0,N250)</f>
        <v>0</v>
      </c>
      <c r="O252" s="13"/>
      <c r="P252" s="664">
        <f t="shared" si="107"/>
      </c>
      <c r="Q252" s="3"/>
      <c r="R252" s="107">
        <f t="shared" si="113"/>
        <v>0</v>
      </c>
      <c r="S252" s="107"/>
      <c r="T252" s="107">
        <f>_xlfn.IFERROR(IF(Simulador!$U$29=1,0,IF($B252&lt;=0,0,$B252*Simulador!$AA$42)),0)</f>
        <v>0</v>
      </c>
      <c r="U252" s="107"/>
      <c r="V252" s="107">
        <f>_xlfn.IFERROR(IF(Simulador!$U$29=1,0,IF($B252&lt;=0,0,IF(Simulador!$D$22&gt;0,Simulador!$D$22,Simulador!$O$24)*Simulador!$AA$43)),0)</f>
        <v>0</v>
      </c>
      <c r="W252" s="107"/>
      <c r="X252" s="107"/>
      <c r="Y252" s="107">
        <f t="shared" si="108"/>
        <v>0</v>
      </c>
      <c r="Z252" s="14"/>
      <c r="AA252" s="19"/>
      <c r="AB252" s="24"/>
      <c r="AC252" s="303">
        <v>19</v>
      </c>
      <c r="AD252" s="302">
        <v>10</v>
      </c>
      <c r="AE252" s="400">
        <f t="shared" si="114"/>
        <v>0</v>
      </c>
      <c r="AF252" s="279">
        <f t="shared" si="115"/>
        <v>0</v>
      </c>
      <c r="AG252" s="279">
        <f t="shared" si="116"/>
        <v>0</v>
      </c>
      <c r="AH252" s="418">
        <f t="shared" si="117"/>
        <v>0</v>
      </c>
      <c r="AI252" s="296">
        <f>IF(Simulador!$T$67=1,'Tabla de amortizacion'!AJ252,'Tabla de amortizacion'!AR252)</f>
        <v>0.09</v>
      </c>
      <c r="AJ252" s="297">
        <f t="shared" si="131"/>
        <v>0.09</v>
      </c>
      <c r="AK252" s="298">
        <f t="shared" si="118"/>
        <v>0</v>
      </c>
      <c r="AL252" s="298"/>
      <c r="AM252" s="304"/>
      <c r="AN252" s="279"/>
      <c r="AO252" s="520">
        <f t="shared" si="104"/>
        <v>0.092</v>
      </c>
      <c r="AP252" s="299">
        <v>0</v>
      </c>
      <c r="AQ252" s="414">
        <f t="shared" si="119"/>
        <v>0</v>
      </c>
      <c r="AR252" s="300">
        <f>IF(AND(Simulador!$T$67=2,Simulador!$T$61=1),AL252,IF(AND(Simulador!$T$67=2,Simulador!$T$61=2),AM252,IF(AND(Simulador!$T$67=2,Simulador!$T$61=3),AN252,AO252)))</f>
        <v>0.092</v>
      </c>
      <c r="AS252" s="281"/>
      <c r="AT252" s="70">
        <f t="shared" si="129"/>
        <v>0</v>
      </c>
      <c r="AU252" s="70">
        <f t="shared" si="120"/>
        <v>0</v>
      </c>
      <c r="AV252" s="71">
        <f t="shared" si="109"/>
        <v>0</v>
      </c>
      <c r="AW252" s="70">
        <f t="shared" si="110"/>
        <v>0</v>
      </c>
      <c r="AX252" s="70">
        <f t="shared" si="121"/>
        <v>0</v>
      </c>
      <c r="AY252" s="72">
        <f t="shared" si="111"/>
      </c>
      <c r="AZ252" s="70">
        <f>_xlfn.IFERROR(IF(Simulador!$U$29=1,0,IF($AT252&lt;=0.01,0,$AT252*Simulador!$AA$42)),0)+_xlfn.IFERROR(IF(Simulador!$U$29=1,0,IF($AT252&lt;=0.01,0,IF(Simulador!$D$22&gt;0,Simulador!$D$22,Simulador!$O$24)*Simulador!$AA$43)),0)</f>
        <v>0</v>
      </c>
      <c r="BA252" s="73"/>
      <c r="BB252" s="70">
        <f t="shared" si="112"/>
        <v>0</v>
      </c>
      <c r="BC252">
        <f t="shared" si="122"/>
        <v>0</v>
      </c>
      <c r="BD252" s="431">
        <f t="shared" si="123"/>
      </c>
      <c r="BE252" s="432">
        <f t="shared" si="124"/>
        <v>0</v>
      </c>
      <c r="BF252" s="69">
        <v>238</v>
      </c>
      <c r="BG252" s="38"/>
      <c r="BJ252" s="69"/>
      <c r="BM252" s="432"/>
    </row>
    <row r="253" spans="1:65" ht="12">
      <c r="A253" s="531">
        <v>239</v>
      </c>
      <c r="B253" s="106">
        <f>IF(R252&lt;=0,0,R252)</f>
        <v>0</v>
      </c>
      <c r="C253" s="106"/>
      <c r="D253" s="107">
        <f>IF(B253+F253-D252&lt;=0,B253+F253,IF(AND(OR(Simulador!$U$38=2,Simulador!$U$38=7),J252=0),D252*(1+AA253),IF($AE$3=2,B253*AQ253,D252*(1+AA253))))</f>
        <v>0</v>
      </c>
      <c r="E253" s="107"/>
      <c r="F253" s="107">
        <f t="shared" si="106"/>
        <v>0</v>
      </c>
      <c r="G253" s="107"/>
      <c r="H253" s="107">
        <f>D253-F253</f>
        <v>0</v>
      </c>
      <c r="I253" s="108"/>
      <c r="J253" s="109"/>
      <c r="K253" s="108"/>
      <c r="L253" s="107">
        <f>IF(Simulador!$T$40=1,0,J253*Simulador!$W$38*1.16)</f>
        <v>0</v>
      </c>
      <c r="M253" s="107"/>
      <c r="N253" s="111"/>
      <c r="O253" s="13"/>
      <c r="P253" s="664">
        <f t="shared" si="107"/>
      </c>
      <c r="Q253" s="3"/>
      <c r="R253" s="107">
        <f t="shared" si="113"/>
        <v>0</v>
      </c>
      <c r="S253" s="107"/>
      <c r="T253" s="107">
        <f>_xlfn.IFERROR(IF(Simulador!$U$29=1,0,IF($B253&lt;=0,0,$B253*Simulador!$AA$42)),0)</f>
        <v>0</v>
      </c>
      <c r="U253" s="107"/>
      <c r="V253" s="107">
        <f>_xlfn.IFERROR(IF(Simulador!$U$29=1,0,IF($B253&lt;=0,0,IF(Simulador!$D$22&gt;0,Simulador!$D$22,Simulador!$O$24)*Simulador!$AA$43)),0)</f>
        <v>0</v>
      </c>
      <c r="W253" s="107"/>
      <c r="X253" s="107"/>
      <c r="Y253" s="107">
        <f t="shared" si="108"/>
        <v>0</v>
      </c>
      <c r="Z253" s="14"/>
      <c r="AA253" s="19"/>
      <c r="AB253" s="24"/>
      <c r="AC253" s="303">
        <v>19</v>
      </c>
      <c r="AD253" s="295">
        <v>11</v>
      </c>
      <c r="AE253" s="400">
        <f t="shared" si="114"/>
        <v>0</v>
      </c>
      <c r="AF253" s="279">
        <f t="shared" si="115"/>
        <v>0</v>
      </c>
      <c r="AG253" s="279">
        <f t="shared" si="116"/>
        <v>0</v>
      </c>
      <c r="AH253" s="418">
        <f t="shared" si="117"/>
        <v>0</v>
      </c>
      <c r="AI253" s="296">
        <f>IF(Simulador!$T$67=1,'Tabla de amortizacion'!AJ253,'Tabla de amortizacion'!AR253)</f>
        <v>0.09</v>
      </c>
      <c r="AJ253" s="297">
        <f t="shared" si="131"/>
        <v>0.09</v>
      </c>
      <c r="AK253" s="298">
        <f>AK252*(1+AA253)</f>
        <v>0</v>
      </c>
      <c r="AL253" s="298"/>
      <c r="AM253" s="304"/>
      <c r="AN253" s="279"/>
      <c r="AO253" s="520">
        <f t="shared" si="104"/>
        <v>0.092</v>
      </c>
      <c r="AP253" s="299">
        <v>0</v>
      </c>
      <c r="AQ253" s="414">
        <f t="shared" si="119"/>
        <v>0</v>
      </c>
      <c r="AR253" s="300">
        <f>IF(AND(Simulador!$T$67=2,Simulador!$T$61=1),AL253,IF(AND(Simulador!$T$67=2,Simulador!$T$61=2),AM253,IF(AND(Simulador!$T$67=2,Simulador!$T$61=3),AN253,AO253)))</f>
        <v>0.092</v>
      </c>
      <c r="AS253" s="281"/>
      <c r="AT253" s="70">
        <f t="shared" si="129"/>
        <v>0</v>
      </c>
      <c r="AU253" s="70">
        <f t="shared" si="120"/>
        <v>0</v>
      </c>
      <c r="AV253" s="71">
        <f t="shared" si="109"/>
        <v>0</v>
      </c>
      <c r="AW253" s="70">
        <f t="shared" si="110"/>
        <v>0</v>
      </c>
      <c r="AX253" s="70">
        <f t="shared" si="121"/>
        <v>0</v>
      </c>
      <c r="AY253" s="72">
        <f t="shared" si="111"/>
      </c>
      <c r="AZ253" s="70">
        <f>_xlfn.IFERROR(IF(Simulador!$U$29=1,0,IF($AT253&lt;=0.01,0,$AT253*Simulador!$AA$42)),0)+_xlfn.IFERROR(IF(Simulador!$U$29=1,0,IF($AT253&lt;=0.01,0,IF(Simulador!$D$22&gt;0,Simulador!$D$22,Simulador!$O$24)*Simulador!$AA$43)),0)</f>
        <v>0</v>
      </c>
      <c r="BA253" s="73"/>
      <c r="BB253" s="70">
        <f t="shared" si="112"/>
        <v>0</v>
      </c>
      <c r="BC253">
        <f t="shared" si="122"/>
        <v>0</v>
      </c>
      <c r="BD253" s="431">
        <f t="shared" si="123"/>
      </c>
      <c r="BE253" s="432">
        <f t="shared" si="124"/>
        <v>0</v>
      </c>
      <c r="BF253" s="69">
        <v>239</v>
      </c>
      <c r="BG253" s="38"/>
      <c r="BJ253" s="69"/>
      <c r="BM253" s="432"/>
    </row>
    <row r="254" spans="1:65" ht="12">
      <c r="A254" s="531">
        <v>240</v>
      </c>
      <c r="B254" s="114">
        <f>IF(R253&lt;=0,0,R253)</f>
        <v>0</v>
      </c>
      <c r="C254" s="112"/>
      <c r="D254" s="107">
        <f>IF(B254+F254-D253&lt;=0,B254+F254,IF(AND(OR(Simulador!$U$38=2,Simulador!$U$38=7),J253=0),D253*(1+AA254),IF($AE$3=2,B254*AQ254,D253*(1+AA254))))</f>
        <v>0</v>
      </c>
      <c r="E254" s="111"/>
      <c r="F254" s="107">
        <f t="shared" si="106"/>
        <v>0</v>
      </c>
      <c r="G254" s="111"/>
      <c r="H254" s="111">
        <f>D254-F254</f>
        <v>0</v>
      </c>
      <c r="I254" s="113"/>
      <c r="J254" s="115"/>
      <c r="K254" s="113"/>
      <c r="L254" s="107">
        <f>IF(Simulador!$T$40=1,0,J254*Simulador!$W$38*1.16)</f>
        <v>0</v>
      </c>
      <c r="M254" s="107"/>
      <c r="N254" s="110">
        <f>IF(B254-H254=0,0,N252)</f>
        <v>0</v>
      </c>
      <c r="O254" s="63"/>
      <c r="P254" s="664">
        <f t="shared" si="107"/>
      </c>
      <c r="Q254" s="26"/>
      <c r="R254" s="107">
        <f t="shared" si="113"/>
        <v>0</v>
      </c>
      <c r="S254" s="111"/>
      <c r="T254" s="107">
        <f>_xlfn.IFERROR(IF(Simulador!$U$29=1,0,IF($B254&lt;=0,0,$B254*Simulador!$AA$42)),0)</f>
        <v>0</v>
      </c>
      <c r="U254" s="107"/>
      <c r="V254" s="107">
        <f>_xlfn.IFERROR(IF(Simulador!$U$29=1,0,IF($B254&lt;=0,0,IF(Simulador!$D$22&gt;0,Simulador!$D$22,Simulador!$O$24)*Simulador!$AA$43)),0)</f>
        <v>0</v>
      </c>
      <c r="W254" s="111"/>
      <c r="X254" s="111"/>
      <c r="Y254" s="107">
        <f t="shared" si="108"/>
        <v>0</v>
      </c>
      <c r="Z254" s="27"/>
      <c r="AA254" s="19"/>
      <c r="AB254" s="24"/>
      <c r="AC254" s="303">
        <v>20</v>
      </c>
      <c r="AD254" s="295">
        <v>0</v>
      </c>
      <c r="AE254" s="400">
        <f t="shared" si="114"/>
        <v>0</v>
      </c>
      <c r="AF254" s="279">
        <f t="shared" si="115"/>
        <v>0</v>
      </c>
      <c r="AG254" s="279">
        <f t="shared" si="116"/>
        <v>0</v>
      </c>
      <c r="AH254" s="418">
        <f t="shared" si="117"/>
        <v>0</v>
      </c>
      <c r="AI254" s="296">
        <f>IF(Simulador!$T$67=1,'Tabla de amortizacion'!AJ254,'Tabla de amortizacion'!AR254)</f>
        <v>0.09</v>
      </c>
      <c r="AJ254" s="297">
        <f t="shared" si="131"/>
        <v>0.09</v>
      </c>
      <c r="AK254" s="298">
        <f>AK253*(1+AA254)</f>
        <v>0</v>
      </c>
      <c r="AL254" s="298"/>
      <c r="AM254" s="304"/>
      <c r="AN254" s="279"/>
      <c r="AO254" s="520">
        <f t="shared" si="104"/>
        <v>0.092</v>
      </c>
      <c r="AP254" s="299">
        <v>0</v>
      </c>
      <c r="AQ254" s="414">
        <f t="shared" si="119"/>
        <v>0</v>
      </c>
      <c r="AR254" s="300">
        <f>IF(AND(Simulador!$T$67=2,Simulador!$T$61=1),AL254,IF(AND(Simulador!$T$67=2,Simulador!$T$61=2),AM254,IF(AND(Simulador!$T$67=2,Simulador!$T$61=3),AN254,AO254)))</f>
        <v>0.092</v>
      </c>
      <c r="AS254" s="281"/>
      <c r="AT254" s="70">
        <f t="shared" si="129"/>
        <v>0</v>
      </c>
      <c r="AU254" s="70">
        <f t="shared" si="120"/>
        <v>0</v>
      </c>
      <c r="AV254" s="71">
        <f t="shared" si="109"/>
        <v>0</v>
      </c>
      <c r="AW254" s="70">
        <f t="shared" si="110"/>
        <v>0</v>
      </c>
      <c r="AX254" s="70">
        <f t="shared" si="121"/>
        <v>0</v>
      </c>
      <c r="AY254" s="72">
        <f t="shared" si="111"/>
      </c>
      <c r="AZ254" s="70">
        <f>_xlfn.IFERROR(IF(Simulador!$U$29=1,0,IF($AT254&lt;=0.01,0,$AT254*Simulador!$AA$42)),0)+_xlfn.IFERROR(IF(Simulador!$U$29=1,0,IF($AT254&lt;=0.01,0,IF(Simulador!$D$22&gt;0,Simulador!$D$22,Simulador!$O$24)*Simulador!$AA$43)),0)</f>
        <v>0</v>
      </c>
      <c r="BA254" s="73"/>
      <c r="BB254" s="70">
        <f t="shared" si="112"/>
        <v>0</v>
      </c>
      <c r="BC254">
        <f t="shared" si="122"/>
        <v>0</v>
      </c>
      <c r="BD254" s="431">
        <f t="shared" si="123"/>
      </c>
      <c r="BE254" s="432">
        <f t="shared" si="124"/>
        <v>0</v>
      </c>
      <c r="BF254" s="69">
        <v>240</v>
      </c>
      <c r="BG254" s="38"/>
      <c r="BJ254" s="69"/>
      <c r="BM254" s="432"/>
    </row>
    <row r="255" spans="1:65" ht="12">
      <c r="A255" s="12"/>
      <c r="B255" s="28"/>
      <c r="C255" s="29"/>
      <c r="D255" s="4"/>
      <c r="E255" s="4"/>
      <c r="F255" s="4"/>
      <c r="G255" s="4"/>
      <c r="H255" s="4"/>
      <c r="I255" s="30"/>
      <c r="J255" s="31"/>
      <c r="K255" s="32"/>
      <c r="L255" s="33"/>
      <c r="M255" s="33"/>
      <c r="N255" s="33"/>
      <c r="O255" s="33"/>
      <c r="P255" s="36"/>
      <c r="Q255" s="4"/>
      <c r="R255" s="4"/>
      <c r="S255" s="4"/>
      <c r="T255" s="4"/>
      <c r="U255" s="4"/>
      <c r="V255" s="4"/>
      <c r="W255" s="4"/>
      <c r="X255" s="4"/>
      <c r="Y255" s="4"/>
      <c r="Z255" s="34"/>
      <c r="AA255" s="35"/>
      <c r="AB255" s="24"/>
      <c r="AC255" s="443"/>
      <c r="AD255" s="444"/>
      <c r="AP255" s="447"/>
      <c r="BD255" s="439"/>
      <c r="BE255" s="439"/>
      <c r="BF255" s="439"/>
      <c r="BG255" s="439"/>
      <c r="BH255" s="439"/>
      <c r="BI255" s="439"/>
      <c r="BJ255" s="439"/>
      <c r="BK255" s="440"/>
      <c r="BL255" s="440"/>
      <c r="BM255" s="440"/>
    </row>
    <row r="256" spans="1:33" ht="12.75" thickBot="1">
      <c r="A256" s="65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307"/>
      <c r="AC256" s="449"/>
      <c r="AD256" s="449"/>
      <c r="AE256" s="449"/>
      <c r="AF256" s="449"/>
      <c r="AG256" s="449"/>
    </row>
    <row r="257" spans="59:61" ht="12">
      <c r="BG257" s="441"/>
      <c r="BI257" s="441"/>
    </row>
    <row r="258" spans="4:25" ht="12">
      <c r="D258" s="61"/>
      <c r="F258" s="61"/>
      <c r="H258" s="61"/>
      <c r="Y258" s="76">
        <f>SUM(Y15:Z255)</f>
        <v>0</v>
      </c>
    </row>
  </sheetData>
  <sheetProtection password="FBFD" sheet="1" objects="1" scenarios="1"/>
  <mergeCells count="6">
    <mergeCell ref="AM10:AO10"/>
    <mergeCell ref="A3:AB3"/>
    <mergeCell ref="A4:AB4"/>
    <mergeCell ref="A1:AB1"/>
    <mergeCell ref="A2:AB2"/>
    <mergeCell ref="L5:N5"/>
  </mergeCells>
  <conditionalFormatting sqref="BA16:BA254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0" horizontalDpi="600" verticalDpi="600" orientation="portrait" scale="52" r:id="rId4"/>
  <rowBreaks count="2" manualBreakCount="2">
    <brk id="98" max="27" man="1"/>
    <brk id="194" max="2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D43"/>
  <sheetViews>
    <sheetView showGridLines="0" showRowColHeaders="0" zoomScale="113" zoomScaleNormal="113" zoomScalePageLayoutView="0" workbookViewId="0" topLeftCell="A1">
      <selection activeCell="A1" sqref="A1"/>
    </sheetView>
  </sheetViews>
  <sheetFormatPr defaultColWidth="11.421875" defaultRowHeight="12.75"/>
  <cols>
    <col min="1" max="1" width="32.421875" style="45" customWidth="1"/>
    <col min="2" max="2" width="28.57421875" style="45" customWidth="1"/>
    <col min="3" max="3" width="25.57421875" style="45" customWidth="1"/>
    <col min="4" max="4" width="30.57421875" style="45" customWidth="1"/>
    <col min="5" max="5" width="12.57421875" style="45" bestFit="1" customWidth="1"/>
    <col min="6" max="16384" width="11.421875" style="45" customWidth="1"/>
  </cols>
  <sheetData>
    <row r="1" ht="36" customHeight="1">
      <c r="A1" s="345"/>
    </row>
    <row r="2" spans="1:4" ht="21.75" customHeight="1">
      <c r="A2" s="737" t="s">
        <v>442</v>
      </c>
      <c r="B2" s="737"/>
      <c r="C2" s="737"/>
      <c r="D2" s="737"/>
    </row>
    <row r="3" spans="1:4" ht="13.5" customHeight="1">
      <c r="A3" s="507"/>
      <c r="B3" s="507"/>
      <c r="C3" s="507"/>
      <c r="D3" s="507" t="s">
        <v>313</v>
      </c>
    </row>
    <row r="4" ht="15.75" customHeight="1">
      <c r="D4" s="506">
        <f>IF(Simulador!M11="","",Simulador!M11)</f>
      </c>
    </row>
    <row r="5" spans="1:4" ht="21" customHeight="1">
      <c r="A5" s="346" t="s">
        <v>315</v>
      </c>
      <c r="B5" s="738" t="str">
        <f>INDEX(Simulador!AE32:AE37,Simulador!U38)&amp;" "&amp;UPPER(INDEX(Simulador!S68:S69,Simulador!T67))&amp;" "&amp;A16</f>
        <v>CREDIRESIDENCIAL VALORA 20 años</v>
      </c>
      <c r="C5" s="738"/>
      <c r="D5" s="739"/>
    </row>
    <row r="6" spans="1:4" ht="12.75" customHeight="1">
      <c r="A6" s="725"/>
      <c r="B6" s="726"/>
      <c r="C6" s="726"/>
      <c r="D6" s="727"/>
    </row>
    <row r="7" spans="1:4" ht="12.75" customHeight="1">
      <c r="A7" s="728" t="s">
        <v>196</v>
      </c>
      <c r="B7" s="729"/>
      <c r="C7" s="729"/>
      <c r="D7" s="730"/>
    </row>
    <row r="8" spans="1:4" ht="15.75" customHeight="1">
      <c r="A8" s="347" t="s">
        <v>135</v>
      </c>
      <c r="B8" s="347" t="s">
        <v>198</v>
      </c>
      <c r="C8" s="347" t="s">
        <v>199</v>
      </c>
      <c r="D8" s="347" t="s">
        <v>444</v>
      </c>
    </row>
    <row r="9" spans="1:4" ht="15.75" customHeight="1">
      <c r="A9" s="348" t="s">
        <v>197</v>
      </c>
      <c r="B9" s="348" t="s">
        <v>443</v>
      </c>
      <c r="C9" s="348" t="s">
        <v>200</v>
      </c>
      <c r="D9" s="348" t="s">
        <v>445</v>
      </c>
    </row>
    <row r="10" spans="1:4" ht="12">
      <c r="A10" s="403">
        <f>Simulador!I39</f>
        <v>0</v>
      </c>
      <c r="B10" s="740">
        <f>_xlfn.IFERROR(IF(Simulador!D21=0,0,Simulador!I41),0)</f>
        <v>0</v>
      </c>
      <c r="C10" s="349">
        <f>Simulador!I25</f>
        <v>0</v>
      </c>
      <c r="D10" s="349">
        <f>_xlfn.IFERROR(SUM('Tabla de amortizacion'!$Y$15:$Y$254),0)</f>
        <v>0</v>
      </c>
    </row>
    <row r="11" spans="1:4" ht="12">
      <c r="A11" s="350" t="s">
        <v>201</v>
      </c>
      <c r="B11" s="741"/>
      <c r="C11" s="350"/>
      <c r="D11" s="350" t="s">
        <v>205</v>
      </c>
    </row>
    <row r="12" spans="1:4" ht="12">
      <c r="A12" s="350" t="s">
        <v>202</v>
      </c>
      <c r="B12" s="741"/>
      <c r="C12" s="350"/>
      <c r="D12" s="350" t="s">
        <v>206</v>
      </c>
    </row>
    <row r="13" spans="1:4" ht="12">
      <c r="A13" s="350" t="s">
        <v>203</v>
      </c>
      <c r="B13" s="741"/>
      <c r="C13" s="350"/>
      <c r="D13" s="350" t="s">
        <v>207</v>
      </c>
    </row>
    <row r="14" spans="1:4" ht="12">
      <c r="A14" s="351" t="s">
        <v>204</v>
      </c>
      <c r="B14" s="515" t="s">
        <v>319</v>
      </c>
      <c r="C14" s="352"/>
      <c r="D14" s="352"/>
    </row>
    <row r="15" spans="1:4" s="667" customFormat="1" ht="42" customHeight="1">
      <c r="A15" s="666" t="s">
        <v>208</v>
      </c>
      <c r="B15" s="734" t="s">
        <v>448</v>
      </c>
      <c r="C15" s="735"/>
      <c r="D15" s="736"/>
    </row>
    <row r="16" spans="1:4" s="667" customFormat="1" ht="39.75" customHeight="1">
      <c r="A16" s="668" t="str">
        <f>INDEX(Simulador!S62:S65,Simulador!T61)</f>
        <v>20 años</v>
      </c>
      <c r="B16" s="734" t="s">
        <v>446</v>
      </c>
      <c r="C16" s="735"/>
      <c r="D16" s="736"/>
    </row>
    <row r="17" spans="1:4" ht="12">
      <c r="A17" s="731" t="s">
        <v>209</v>
      </c>
      <c r="B17" s="732"/>
      <c r="C17" s="732"/>
      <c r="D17" s="733"/>
    </row>
    <row r="18" spans="1:4" ht="21" customHeight="1">
      <c r="A18" s="742" t="str">
        <f>"Apertura: "&amp;TEXT(Simulador!O31,"$###,###.00")</f>
        <v>Apertura: $.00</v>
      </c>
      <c r="B18" s="743"/>
      <c r="C18" s="742" t="s">
        <v>210</v>
      </c>
      <c r="D18" s="743"/>
    </row>
    <row r="19" spans="1:4" ht="31.5" customHeight="1">
      <c r="A19" s="769" t="str">
        <f>"Prepago: "&amp;IF(Simulador!T40=1,"0% ","3% ")&amp;"más IVA sobre el monto anticipado"</f>
        <v>Prepago: 0% más IVA sobre el monto anticipado</v>
      </c>
      <c r="B19" s="770"/>
      <c r="C19" s="771" t="s">
        <v>461</v>
      </c>
      <c r="D19" s="772"/>
    </row>
    <row r="20" spans="1:4" ht="12">
      <c r="A20" s="747" t="s">
        <v>211</v>
      </c>
      <c r="B20" s="748"/>
      <c r="C20" s="748"/>
      <c r="D20" s="749"/>
    </row>
    <row r="21" spans="1:4" ht="12">
      <c r="A21" s="750"/>
      <c r="B21" s="751"/>
      <c r="C21" s="751"/>
      <c r="D21" s="752"/>
    </row>
    <row r="22" spans="1:4" ht="18" customHeight="1">
      <c r="A22" s="744" t="s">
        <v>447</v>
      </c>
      <c r="B22" s="745"/>
      <c r="C22" s="745"/>
      <c r="D22" s="746"/>
    </row>
    <row r="23" spans="1:4" ht="18" customHeight="1">
      <c r="A23" s="744" t="s">
        <v>314</v>
      </c>
      <c r="B23" s="745"/>
      <c r="C23" s="745"/>
      <c r="D23" s="746"/>
    </row>
    <row r="24" spans="1:4" ht="18" customHeight="1">
      <c r="A24" s="766" t="s">
        <v>311</v>
      </c>
      <c r="B24" s="767"/>
      <c r="C24" s="767"/>
      <c r="D24" s="768"/>
    </row>
    <row r="25" spans="1:4" ht="12">
      <c r="A25" s="731" t="s">
        <v>212</v>
      </c>
      <c r="B25" s="732"/>
      <c r="C25" s="732"/>
      <c r="D25" s="733"/>
    </row>
    <row r="26" spans="1:4" ht="12">
      <c r="A26" s="676" t="s">
        <v>213</v>
      </c>
      <c r="B26" s="677" t="s">
        <v>214</v>
      </c>
      <c r="C26" s="678" t="s">
        <v>215</v>
      </c>
      <c r="D26" s="679"/>
    </row>
    <row r="27" spans="1:4" ht="12">
      <c r="A27" s="680"/>
      <c r="B27" s="681"/>
      <c r="C27" s="682"/>
      <c r="D27" s="683"/>
    </row>
    <row r="28" spans="1:4" ht="19.5" customHeight="1">
      <c r="A28" s="684" t="s">
        <v>189</v>
      </c>
      <c r="B28" s="685" t="s">
        <v>455</v>
      </c>
      <c r="C28" s="686" t="s">
        <v>456</v>
      </c>
      <c r="D28" s="683"/>
    </row>
    <row r="29" spans="1:4" ht="20.25" customHeight="1">
      <c r="A29" s="684"/>
      <c r="B29" s="685"/>
      <c r="C29" s="762"/>
      <c r="D29" s="763"/>
    </row>
    <row r="30" spans="1:4" ht="19.5">
      <c r="A30" s="684" t="s">
        <v>457</v>
      </c>
      <c r="B30" s="685" t="s">
        <v>264</v>
      </c>
      <c r="C30" s="762"/>
      <c r="D30" s="763"/>
    </row>
    <row r="31" spans="1:4" ht="21" customHeight="1">
      <c r="A31" s="684"/>
      <c r="B31" s="685"/>
      <c r="C31" s="762"/>
      <c r="D31" s="763"/>
    </row>
    <row r="32" spans="1:4" ht="17.25" customHeight="1">
      <c r="A32" s="687"/>
      <c r="B32" s="688"/>
      <c r="C32" s="764"/>
      <c r="D32" s="765"/>
    </row>
    <row r="33" spans="1:4" ht="12">
      <c r="A33" s="747" t="s">
        <v>216</v>
      </c>
      <c r="B33" s="748"/>
      <c r="C33" s="748"/>
      <c r="D33" s="749"/>
    </row>
    <row r="34" spans="1:4" ht="12.75" customHeight="1">
      <c r="A34" s="773" t="s">
        <v>449</v>
      </c>
      <c r="B34" s="774"/>
      <c r="C34" s="774"/>
      <c r="D34" s="775"/>
    </row>
    <row r="35" spans="1:4" ht="12">
      <c r="A35" s="747" t="s">
        <v>217</v>
      </c>
      <c r="B35" s="748"/>
      <c r="C35" s="748"/>
      <c r="D35" s="749"/>
    </row>
    <row r="36" spans="1:4" ht="12">
      <c r="A36" s="756" t="s">
        <v>218</v>
      </c>
      <c r="B36" s="757"/>
      <c r="C36" s="757"/>
      <c r="D36" s="758"/>
    </row>
    <row r="37" spans="1:4" ht="31.5" customHeight="1">
      <c r="A37" s="756" t="s">
        <v>219</v>
      </c>
      <c r="B37" s="757"/>
      <c r="C37" s="757"/>
      <c r="D37" s="758"/>
    </row>
    <row r="38" spans="1:4" ht="12">
      <c r="A38" s="756" t="s">
        <v>220</v>
      </c>
      <c r="B38" s="757"/>
      <c r="C38" s="757"/>
      <c r="D38" s="758"/>
    </row>
    <row r="39" spans="1:4" ht="12">
      <c r="A39" s="756" t="s">
        <v>221</v>
      </c>
      <c r="B39" s="757"/>
      <c r="C39" s="757"/>
      <c r="D39" s="758"/>
    </row>
    <row r="40" spans="1:4" ht="12">
      <c r="A40" s="753" t="s">
        <v>222</v>
      </c>
      <c r="B40" s="754"/>
      <c r="C40" s="754"/>
      <c r="D40" s="755"/>
    </row>
    <row r="41" spans="1:4" ht="21" customHeight="1">
      <c r="A41" s="759" t="str">
        <f>"Registro de Contratos de Adhesión Núm:  "&amp;IF(Simulador!D21=0,"",_xlfn.IFERROR(VLOOKUP(RECAS!$A$1,RECAS!$A$3:$D$16,4,0),"Revisa los datos ingresados"))</f>
        <v>Registro de Contratos de Adhesión Núm:  </v>
      </c>
      <c r="B41" s="760"/>
      <c r="C41" s="760"/>
      <c r="D41" s="761"/>
    </row>
    <row r="42" spans="1:4" ht="21" customHeight="1">
      <c r="A42" s="756" t="s">
        <v>223</v>
      </c>
      <c r="B42" s="757"/>
      <c r="C42" s="757"/>
      <c r="D42" s="758"/>
    </row>
    <row r="43" spans="1:4" ht="21" customHeight="1">
      <c r="A43" s="753" t="s">
        <v>224</v>
      </c>
      <c r="B43" s="754"/>
      <c r="C43" s="754"/>
      <c r="D43" s="755"/>
    </row>
  </sheetData>
  <sheetProtection password="FBFD" sheet="1" objects="1" scenarios="1"/>
  <mergeCells count="33">
    <mergeCell ref="A24:D24"/>
    <mergeCell ref="A25:D25"/>
    <mergeCell ref="A19:B19"/>
    <mergeCell ref="A36:D36"/>
    <mergeCell ref="A37:D37"/>
    <mergeCell ref="A39:D39"/>
    <mergeCell ref="C19:D19"/>
    <mergeCell ref="A33:D33"/>
    <mergeCell ref="A34:D34"/>
    <mergeCell ref="A35:D35"/>
    <mergeCell ref="A43:D43"/>
    <mergeCell ref="A40:D40"/>
    <mergeCell ref="A38:D38"/>
    <mergeCell ref="A42:D42"/>
    <mergeCell ref="A41:D41"/>
    <mergeCell ref="C29:D29"/>
    <mergeCell ref="C30:D30"/>
    <mergeCell ref="C31:D31"/>
    <mergeCell ref="C32:D32"/>
    <mergeCell ref="A18:B18"/>
    <mergeCell ref="C18:D18"/>
    <mergeCell ref="A22:D22"/>
    <mergeCell ref="A20:D20"/>
    <mergeCell ref="A21:D21"/>
    <mergeCell ref="A23:D23"/>
    <mergeCell ref="A6:D6"/>
    <mergeCell ref="A7:D7"/>
    <mergeCell ref="A17:D17"/>
    <mergeCell ref="B15:D15"/>
    <mergeCell ref="B16:D16"/>
    <mergeCell ref="A2:D2"/>
    <mergeCell ref="B5:D5"/>
    <mergeCell ref="B10:B13"/>
  </mergeCells>
  <printOptions horizontalCentered="1"/>
  <pageMargins left="0.4724409448818898" right="0.4724409448818898" top="0.7480314960629921" bottom="0.7480314960629921" header="0.31496062992125984" footer="0.31496062992125984"/>
  <pageSetup horizontalDpi="600" verticalDpi="600" orientation="portrait" scale="8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H28"/>
  <sheetViews>
    <sheetView showGridLines="0" zoomScale="80" zoomScaleNormal="80" zoomScalePageLayoutView="0" workbookViewId="0" topLeftCell="A1">
      <selection activeCell="D10" sqref="D10"/>
    </sheetView>
  </sheetViews>
  <sheetFormatPr defaultColWidth="11.421875" defaultRowHeight="12.75"/>
  <cols>
    <col min="1" max="1" width="8.140625" style="0" customWidth="1"/>
    <col min="2" max="2" width="6.8515625" style="0" customWidth="1"/>
    <col min="3" max="3" width="66.421875" style="0" customWidth="1"/>
    <col min="4" max="4" width="36.421875" style="0" customWidth="1"/>
    <col min="5" max="5" width="12.57421875" style="0" customWidth="1"/>
    <col min="6" max="6" width="4.8515625" style="0" customWidth="1"/>
    <col min="7" max="7" width="5.421875" style="0" customWidth="1"/>
    <col min="8" max="8" width="5.00390625" style="0" customWidth="1"/>
  </cols>
  <sheetData>
    <row r="1" spans="1:7" ht="25.5" customHeight="1" thickBot="1">
      <c r="A1" s="359" t="str">
        <f>Simulador!$U$38&amp;"-"&amp;Simulador!$T$67&amp;"-"&amp;IF(OR(Simulador!$D$41&gt;0,Simulador!$D$43&gt;0),2,1)</f>
        <v>1-1-1</v>
      </c>
      <c r="B1" s="776" t="s">
        <v>467</v>
      </c>
      <c r="C1" s="777"/>
      <c r="D1" s="777"/>
      <c r="E1" s="778"/>
      <c r="F1" s="353"/>
      <c r="G1" s="353"/>
    </row>
    <row r="2" spans="1:8" ht="27.75" customHeight="1">
      <c r="A2" s="358" t="s">
        <v>246</v>
      </c>
      <c r="B2" s="354" t="s">
        <v>229</v>
      </c>
      <c r="C2" s="355" t="s">
        <v>230</v>
      </c>
      <c r="D2" s="355" t="s">
        <v>231</v>
      </c>
      <c r="E2" s="356" t="s">
        <v>232</v>
      </c>
      <c r="F2" s="360" t="s">
        <v>248</v>
      </c>
      <c r="G2" s="360" t="s">
        <v>247</v>
      </c>
      <c r="H2" s="360" t="s">
        <v>245</v>
      </c>
    </row>
    <row r="3" spans="1:8" ht="30">
      <c r="A3" s="391" t="str">
        <f aca="true" t="shared" si="0" ref="A3:A10">F3&amp;"-"&amp;G3&amp;"-"&amp;H3</f>
        <v>1-2-1</v>
      </c>
      <c r="B3" s="516">
        <v>9</v>
      </c>
      <c r="C3" s="390" t="s">
        <v>233</v>
      </c>
      <c r="D3" s="390" t="s">
        <v>468</v>
      </c>
      <c r="E3" s="357">
        <v>44186</v>
      </c>
      <c r="F3" s="391">
        <v>1</v>
      </c>
      <c r="G3" s="391">
        <v>2</v>
      </c>
      <c r="H3" s="391">
        <v>1</v>
      </c>
    </row>
    <row r="4" spans="1:8" ht="30">
      <c r="A4" s="391" t="str">
        <f t="shared" si="0"/>
        <v>2-2-1</v>
      </c>
      <c r="B4" s="516">
        <v>10</v>
      </c>
      <c r="C4" s="390" t="s">
        <v>234</v>
      </c>
      <c r="D4" s="390" t="s">
        <v>469</v>
      </c>
      <c r="E4" s="357">
        <v>44186</v>
      </c>
      <c r="F4" s="391">
        <v>2</v>
      </c>
      <c r="G4" s="391">
        <v>2</v>
      </c>
      <c r="H4" s="391">
        <v>1</v>
      </c>
    </row>
    <row r="5" spans="1:8" ht="30">
      <c r="A5" s="391" t="str">
        <f t="shared" si="0"/>
        <v>1-1-1</v>
      </c>
      <c r="B5" s="516">
        <v>11</v>
      </c>
      <c r="C5" s="390" t="s">
        <v>235</v>
      </c>
      <c r="D5" s="390" t="s">
        <v>470</v>
      </c>
      <c r="E5" s="357">
        <v>44186</v>
      </c>
      <c r="F5" s="391">
        <v>1</v>
      </c>
      <c r="G5" s="392">
        <v>1</v>
      </c>
      <c r="H5" s="391">
        <v>1</v>
      </c>
    </row>
    <row r="6" spans="1:8" ht="14.25">
      <c r="A6" s="391" t="str">
        <f t="shared" si="0"/>
        <v>2-1-1</v>
      </c>
      <c r="B6" s="516">
        <v>12</v>
      </c>
      <c r="C6" s="390" t="s">
        <v>236</v>
      </c>
      <c r="D6" s="390" t="s">
        <v>471</v>
      </c>
      <c r="E6" s="357">
        <v>44186</v>
      </c>
      <c r="F6" s="391">
        <v>2</v>
      </c>
      <c r="G6" s="393">
        <v>1</v>
      </c>
      <c r="H6" s="391">
        <v>1</v>
      </c>
    </row>
    <row r="7" spans="1:8" ht="14.25">
      <c r="A7" s="391" t="str">
        <f t="shared" si="0"/>
        <v>4-2-1</v>
      </c>
      <c r="B7" s="516">
        <v>21</v>
      </c>
      <c r="C7" s="390" t="s">
        <v>237</v>
      </c>
      <c r="D7" s="390" t="s">
        <v>472</v>
      </c>
      <c r="E7" s="357">
        <v>44186</v>
      </c>
      <c r="F7" s="391">
        <v>4</v>
      </c>
      <c r="G7" s="391">
        <v>2</v>
      </c>
      <c r="H7" s="391">
        <v>1</v>
      </c>
    </row>
    <row r="8" spans="1:8" ht="14.25">
      <c r="A8" s="391" t="str">
        <f t="shared" si="0"/>
        <v>4-1-1</v>
      </c>
      <c r="B8" s="516">
        <v>22</v>
      </c>
      <c r="C8" s="390" t="s">
        <v>238</v>
      </c>
      <c r="D8" s="390" t="s">
        <v>473</v>
      </c>
      <c r="E8" s="357">
        <v>44186</v>
      </c>
      <c r="F8" s="391">
        <v>4</v>
      </c>
      <c r="G8" s="391">
        <v>1</v>
      </c>
      <c r="H8" s="391">
        <v>1</v>
      </c>
    </row>
    <row r="9" spans="1:8" ht="14.25">
      <c r="A9" s="391" t="str">
        <f t="shared" si="0"/>
        <v>6-2-1</v>
      </c>
      <c r="B9" s="516">
        <v>23</v>
      </c>
      <c r="C9" s="390" t="s">
        <v>239</v>
      </c>
      <c r="D9" s="390" t="s">
        <v>474</v>
      </c>
      <c r="E9" s="357">
        <v>44186</v>
      </c>
      <c r="F9" s="391">
        <v>6</v>
      </c>
      <c r="G9" s="392">
        <v>2</v>
      </c>
      <c r="H9" s="391">
        <v>1</v>
      </c>
    </row>
    <row r="10" spans="1:8" ht="14.25">
      <c r="A10" s="391" t="str">
        <f t="shared" si="0"/>
        <v>6-1-1</v>
      </c>
      <c r="B10" s="516">
        <v>24</v>
      </c>
      <c r="C10" s="390" t="s">
        <v>240</v>
      </c>
      <c r="D10" s="390" t="s">
        <v>475</v>
      </c>
      <c r="E10" s="357">
        <v>44186</v>
      </c>
      <c r="F10" s="394">
        <v>6</v>
      </c>
      <c r="G10" s="395">
        <v>1</v>
      </c>
      <c r="H10" s="395">
        <v>1</v>
      </c>
    </row>
    <row r="11" spans="1:8" ht="14.25">
      <c r="A11" s="391" t="str">
        <f aca="true" t="shared" si="1" ref="A11:A16">F11&amp;"-"&amp;G11&amp;"-"&amp;H11</f>
        <v>3-2-1</v>
      </c>
      <c r="B11" s="516">
        <v>25</v>
      </c>
      <c r="C11" s="390" t="s">
        <v>241</v>
      </c>
      <c r="D11" s="390" t="s">
        <v>476</v>
      </c>
      <c r="E11" s="357">
        <v>44186</v>
      </c>
      <c r="F11" s="394">
        <v>3</v>
      </c>
      <c r="G11" s="395">
        <v>2</v>
      </c>
      <c r="H11" s="395">
        <v>1</v>
      </c>
    </row>
    <row r="12" spans="1:8" ht="14.25">
      <c r="A12" s="391" t="str">
        <f t="shared" si="1"/>
        <v>3-2-2</v>
      </c>
      <c r="B12" s="516">
        <v>26</v>
      </c>
      <c r="C12" s="390" t="s">
        <v>242</v>
      </c>
      <c r="D12" s="390" t="s">
        <v>477</v>
      </c>
      <c r="E12" s="357">
        <v>44186</v>
      </c>
      <c r="F12" s="394">
        <v>3</v>
      </c>
      <c r="G12" s="395">
        <v>2</v>
      </c>
      <c r="H12" s="395">
        <v>2</v>
      </c>
    </row>
    <row r="13" spans="1:8" ht="14.25">
      <c r="A13" s="391" t="str">
        <f t="shared" si="1"/>
        <v>3-1-1</v>
      </c>
      <c r="B13" s="516">
        <v>27</v>
      </c>
      <c r="C13" s="390" t="s">
        <v>243</v>
      </c>
      <c r="D13" s="390" t="s">
        <v>478</v>
      </c>
      <c r="E13" s="357">
        <v>44186</v>
      </c>
      <c r="F13" s="394">
        <v>3</v>
      </c>
      <c r="G13" s="395">
        <v>1</v>
      </c>
      <c r="H13" s="395">
        <v>1</v>
      </c>
    </row>
    <row r="14" spans="1:8" ht="14.25">
      <c r="A14" s="391" t="str">
        <f t="shared" si="1"/>
        <v>3-1-2</v>
      </c>
      <c r="B14" s="516">
        <v>28</v>
      </c>
      <c r="C14" s="390" t="s">
        <v>244</v>
      </c>
      <c r="D14" s="390" t="s">
        <v>479</v>
      </c>
      <c r="E14" s="357">
        <v>44186</v>
      </c>
      <c r="F14" s="394">
        <v>3</v>
      </c>
      <c r="G14" s="395">
        <v>1</v>
      </c>
      <c r="H14" s="395">
        <v>2</v>
      </c>
    </row>
    <row r="15" spans="1:8" ht="14.25">
      <c r="A15" s="391" t="str">
        <f t="shared" si="1"/>
        <v>5-2-1</v>
      </c>
      <c r="B15" s="516">
        <v>29</v>
      </c>
      <c r="C15" s="390" t="s">
        <v>317</v>
      </c>
      <c r="D15" s="390" t="s">
        <v>480</v>
      </c>
      <c r="E15" s="357">
        <v>44186</v>
      </c>
      <c r="F15" s="391">
        <v>5</v>
      </c>
      <c r="G15" s="391">
        <v>2</v>
      </c>
      <c r="H15" s="391">
        <v>1</v>
      </c>
    </row>
    <row r="16" spans="1:8" ht="14.25">
      <c r="A16" s="391" t="str">
        <f t="shared" si="1"/>
        <v>5-1-1</v>
      </c>
      <c r="B16" s="516">
        <v>30</v>
      </c>
      <c r="C16" s="390" t="s">
        <v>318</v>
      </c>
      <c r="D16" s="390" t="s">
        <v>481</v>
      </c>
      <c r="E16" s="357">
        <v>44186</v>
      </c>
      <c r="F16" s="391">
        <v>5</v>
      </c>
      <c r="G16" s="391">
        <v>1</v>
      </c>
      <c r="H16" s="391">
        <v>1</v>
      </c>
    </row>
    <row r="17" spans="1:5" s="174" customFormat="1" ht="14.25">
      <c r="A17" s="392"/>
      <c r="B17" s="700"/>
      <c r="C17" s="701"/>
      <c r="D17" s="701"/>
      <c r="E17" s="702"/>
    </row>
    <row r="18" spans="1:5" s="174" customFormat="1" ht="14.25">
      <c r="A18" s="392"/>
      <c r="B18" s="700"/>
      <c r="C18" s="701"/>
      <c r="D18" s="701"/>
      <c r="E18" s="702"/>
    </row>
    <row r="19" spans="1:5" s="174" customFormat="1" ht="14.25">
      <c r="A19" s="392"/>
      <c r="B19" s="700"/>
      <c r="C19" s="701"/>
      <c r="D19" s="701"/>
      <c r="E19" s="702"/>
    </row>
    <row r="20" spans="1:5" s="174" customFormat="1" ht="14.25">
      <c r="A20" s="392"/>
      <c r="B20" s="700"/>
      <c r="C20" s="701"/>
      <c r="D20" s="701"/>
      <c r="E20" s="702"/>
    </row>
    <row r="21" spans="1:5" s="174" customFormat="1" ht="14.25">
      <c r="A21" s="392"/>
      <c r="B21" s="700"/>
      <c r="C21" s="701"/>
      <c r="D21" s="701"/>
      <c r="E21" s="702"/>
    </row>
    <row r="22" spans="1:5" s="174" customFormat="1" ht="14.25">
      <c r="A22" s="392"/>
      <c r="B22" s="700"/>
      <c r="C22" s="701"/>
      <c r="D22" s="701"/>
      <c r="E22" s="702"/>
    </row>
    <row r="23" spans="1:5" s="174" customFormat="1" ht="14.25">
      <c r="A23" s="392"/>
      <c r="B23" s="700"/>
      <c r="C23" s="701"/>
      <c r="D23" s="701"/>
      <c r="E23" s="702"/>
    </row>
    <row r="24" spans="1:5" s="174" customFormat="1" ht="14.25">
      <c r="A24" s="392"/>
      <c r="B24" s="700"/>
      <c r="C24" s="701"/>
      <c r="D24" s="701"/>
      <c r="E24" s="702"/>
    </row>
    <row r="25" spans="1:5" s="174" customFormat="1" ht="14.25">
      <c r="A25" s="392"/>
      <c r="B25" s="700"/>
      <c r="C25" s="701"/>
      <c r="D25" s="701"/>
      <c r="E25" s="702"/>
    </row>
    <row r="26" spans="2:5" s="174" customFormat="1" ht="14.25">
      <c r="B26" s="700"/>
      <c r="C26" s="701"/>
      <c r="D26" s="701"/>
      <c r="E26" s="702"/>
    </row>
    <row r="27" spans="2:5" s="174" customFormat="1" ht="14.25">
      <c r="B27" s="700"/>
      <c r="C27" s="701"/>
      <c r="D27" s="701"/>
      <c r="E27" s="702"/>
    </row>
    <row r="28" spans="2:5" s="174" customFormat="1" ht="14.25">
      <c r="B28" s="700"/>
      <c r="C28" s="701"/>
      <c r="D28" s="701"/>
      <c r="E28" s="702"/>
    </row>
  </sheetData>
  <sheetProtection password="FBFD" sheet="1" objects="1" scenarios="1"/>
  <mergeCells count="1">
    <mergeCell ref="B1:E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J177"/>
  <sheetViews>
    <sheetView zoomScale="120" zoomScaleNormal="120" zoomScalePageLayoutView="0" workbookViewId="0" topLeftCell="A1">
      <selection activeCell="F8" sqref="F8:F12"/>
    </sheetView>
  </sheetViews>
  <sheetFormatPr defaultColWidth="11.421875" defaultRowHeight="12.75"/>
  <cols>
    <col min="4" max="4" width="12.421875" style="0" customWidth="1"/>
    <col min="7" max="7" width="29.00390625" style="0" customWidth="1"/>
    <col min="8" max="8" width="11.8515625" style="0" customWidth="1"/>
  </cols>
  <sheetData>
    <row r="1" spans="2:10" ht="18.75" thickBot="1">
      <c r="B1" s="776"/>
      <c r="C1" s="777"/>
      <c r="D1" s="777"/>
      <c r="E1" s="778"/>
      <c r="J1" s="614" t="s">
        <v>345</v>
      </c>
    </row>
    <row r="2" spans="1:10" ht="12.75">
      <c r="A2" s="462" t="s">
        <v>287</v>
      </c>
      <c r="B2" s="49"/>
      <c r="C2" s="49"/>
      <c r="D2" s="49"/>
      <c r="E2" s="49"/>
      <c r="F2" s="49"/>
      <c r="G2" s="49"/>
      <c r="H2" s="49"/>
      <c r="J2" s="614" t="s">
        <v>440</v>
      </c>
    </row>
    <row r="3" spans="1:8" ht="12">
      <c r="A3" s="784" t="s">
        <v>250</v>
      </c>
      <c r="B3" s="784"/>
      <c r="C3" s="784"/>
      <c r="D3" s="784"/>
      <c r="E3" s="784"/>
      <c r="F3" s="784"/>
      <c r="G3" s="784"/>
      <c r="H3" s="784"/>
    </row>
    <row r="4" spans="1:8" ht="12.75" customHeight="1">
      <c r="A4" s="779" t="s">
        <v>251</v>
      </c>
      <c r="B4" s="785" t="s">
        <v>288</v>
      </c>
      <c r="C4" s="786"/>
      <c r="D4" s="786"/>
      <c r="E4" s="786"/>
      <c r="F4" s="786"/>
      <c r="G4" s="786"/>
      <c r="H4" s="787"/>
    </row>
    <row r="5" spans="1:8" ht="12.75">
      <c r="A5" s="780"/>
      <c r="B5" s="785" t="s">
        <v>252</v>
      </c>
      <c r="C5" s="786"/>
      <c r="D5" s="786"/>
      <c r="E5" s="787"/>
      <c r="F5" s="779" t="s">
        <v>253</v>
      </c>
      <c r="G5" s="779" t="s">
        <v>254</v>
      </c>
      <c r="H5" s="779" t="s">
        <v>255</v>
      </c>
    </row>
    <row r="6" spans="1:8" ht="12.75" customHeight="1">
      <c r="A6" s="780"/>
      <c r="B6" s="456" t="s">
        <v>256</v>
      </c>
      <c r="C6" s="456" t="s">
        <v>256</v>
      </c>
      <c r="D6" s="779" t="s">
        <v>259</v>
      </c>
      <c r="E6" s="456" t="s">
        <v>260</v>
      </c>
      <c r="F6" s="780"/>
      <c r="G6" s="780"/>
      <c r="H6" s="780"/>
    </row>
    <row r="7" spans="1:8" ht="12.75" customHeight="1">
      <c r="A7" s="781"/>
      <c r="B7" s="457" t="s">
        <v>257</v>
      </c>
      <c r="C7" s="457" t="s">
        <v>258</v>
      </c>
      <c r="D7" s="781"/>
      <c r="E7" s="457" t="s">
        <v>261</v>
      </c>
      <c r="F7" s="781"/>
      <c r="G7" s="781"/>
      <c r="H7" s="781"/>
    </row>
    <row r="8" spans="1:8" ht="17.25" customHeight="1">
      <c r="A8" s="385">
        <v>1</v>
      </c>
      <c r="B8" s="386">
        <v>0.95</v>
      </c>
      <c r="C8" s="386">
        <v>0.95</v>
      </c>
      <c r="D8" s="782">
        <v>0.9</v>
      </c>
      <c r="E8" s="386">
        <v>0.65</v>
      </c>
      <c r="F8" s="788" t="s">
        <v>262</v>
      </c>
      <c r="G8" s="793" t="s">
        <v>289</v>
      </c>
      <c r="H8" s="788" t="s">
        <v>263</v>
      </c>
    </row>
    <row r="9" spans="1:8" ht="17.25" customHeight="1">
      <c r="A9" s="385">
        <v>2</v>
      </c>
      <c r="B9" s="782">
        <v>0.95</v>
      </c>
      <c r="C9" s="463">
        <v>0.9</v>
      </c>
      <c r="D9" s="783"/>
      <c r="E9" s="386">
        <v>0.65</v>
      </c>
      <c r="F9" s="789"/>
      <c r="G9" s="794"/>
      <c r="H9" s="789"/>
    </row>
    <row r="10" spans="1:8" ht="17.25" customHeight="1">
      <c r="A10" s="385">
        <v>3</v>
      </c>
      <c r="B10" s="783"/>
      <c r="C10" s="386">
        <v>0.85</v>
      </c>
      <c r="D10" s="386">
        <v>0.85</v>
      </c>
      <c r="E10" s="386">
        <v>0.5</v>
      </c>
      <c r="F10" s="789"/>
      <c r="G10" s="791" t="s">
        <v>290</v>
      </c>
      <c r="H10" s="789"/>
    </row>
    <row r="11" spans="1:8" ht="17.25" customHeight="1">
      <c r="A11" s="385">
        <v>4</v>
      </c>
      <c r="B11" s="386">
        <v>0.85</v>
      </c>
      <c r="C11" s="386">
        <v>0.8</v>
      </c>
      <c r="D11" s="386">
        <v>0.75</v>
      </c>
      <c r="E11" s="386">
        <v>0.5</v>
      </c>
      <c r="F11" s="789"/>
      <c r="G11" s="791"/>
      <c r="H11" s="789"/>
    </row>
    <row r="12" spans="1:8" ht="17.25" customHeight="1">
      <c r="A12" s="385">
        <v>5</v>
      </c>
      <c r="B12" s="386">
        <v>0.8</v>
      </c>
      <c r="C12" s="386">
        <v>0.7</v>
      </c>
      <c r="D12" s="386">
        <v>0.5</v>
      </c>
      <c r="E12" s="386">
        <v>0.5</v>
      </c>
      <c r="F12" s="790"/>
      <c r="G12" s="792"/>
      <c r="H12" s="790"/>
    </row>
    <row r="16" spans="2:7" ht="12.75">
      <c r="B16" s="795" t="s">
        <v>280</v>
      </c>
      <c r="C16" s="795"/>
      <c r="D16" s="795"/>
      <c r="E16" s="795"/>
      <c r="F16" s="795"/>
      <c r="G16" s="49"/>
    </row>
    <row r="17" spans="2:7" ht="12.75" customHeight="1">
      <c r="B17" s="49"/>
      <c r="C17" s="49"/>
      <c r="D17" s="49"/>
      <c r="E17" s="49"/>
      <c r="F17" s="49"/>
      <c r="G17" s="49"/>
    </row>
    <row r="18" spans="2:7" ht="12.75" customHeight="1">
      <c r="B18" s="49" t="s">
        <v>281</v>
      </c>
      <c r="C18" s="49"/>
      <c r="D18" s="49"/>
      <c r="E18" s="49"/>
      <c r="F18" s="49"/>
      <c r="G18" s="49"/>
    </row>
    <row r="19" spans="2:7" ht="12.75">
      <c r="B19" s="785" t="s">
        <v>282</v>
      </c>
      <c r="C19" s="786"/>
      <c r="D19" s="786"/>
      <c r="E19" s="787"/>
      <c r="F19" s="49"/>
      <c r="G19" s="49"/>
    </row>
    <row r="20" spans="2:7" ht="51.75">
      <c r="B20" s="388" t="s">
        <v>283</v>
      </c>
      <c r="C20" s="388" t="s">
        <v>284</v>
      </c>
      <c r="D20" s="388" t="s">
        <v>285</v>
      </c>
      <c r="E20" s="388" t="s">
        <v>286</v>
      </c>
      <c r="F20" s="49"/>
      <c r="G20" s="49"/>
    </row>
    <row r="21" spans="2:7" ht="23.25" customHeight="1">
      <c r="B21" s="388">
        <v>1</v>
      </c>
      <c r="C21" s="796">
        <v>0.8</v>
      </c>
      <c r="D21" s="796">
        <v>0.8</v>
      </c>
      <c r="E21" s="796">
        <v>0.65</v>
      </c>
      <c r="F21" s="49"/>
      <c r="G21" s="49"/>
    </row>
    <row r="22" spans="2:7" ht="22.5" customHeight="1">
      <c r="B22" s="388">
        <v>2</v>
      </c>
      <c r="C22" s="797"/>
      <c r="D22" s="797"/>
      <c r="E22" s="797"/>
      <c r="F22" s="49"/>
      <c r="G22" s="49"/>
    </row>
    <row r="23" spans="2:7" ht="38.25" customHeight="1">
      <c r="B23" s="388">
        <v>3</v>
      </c>
      <c r="C23" s="461">
        <v>0.7</v>
      </c>
      <c r="D23" s="461">
        <v>0.7</v>
      </c>
      <c r="E23" s="799">
        <v>0.55</v>
      </c>
      <c r="F23" s="49"/>
      <c r="G23" s="49"/>
    </row>
    <row r="24" spans="2:7" ht="12.75" customHeight="1">
      <c r="B24" s="388">
        <v>4</v>
      </c>
      <c r="C24" s="389">
        <v>0.65</v>
      </c>
      <c r="D24" s="389">
        <v>0.55</v>
      </c>
      <c r="E24" s="800"/>
      <c r="F24" s="49"/>
      <c r="G24" s="49"/>
    </row>
    <row r="25" spans="2:7" ht="12.75">
      <c r="B25" s="388">
        <v>5</v>
      </c>
      <c r="C25" s="389">
        <v>0.5</v>
      </c>
      <c r="D25" s="389">
        <v>0.5</v>
      </c>
      <c r="E25" s="389">
        <v>0.5</v>
      </c>
      <c r="F25" s="49"/>
      <c r="G25" s="49"/>
    </row>
    <row r="26" spans="2:7" ht="44.25" customHeight="1">
      <c r="B26" s="51"/>
      <c r="C26" s="49"/>
      <c r="D26" s="49"/>
      <c r="E26" s="49"/>
      <c r="F26" s="49"/>
      <c r="G26" s="49"/>
    </row>
    <row r="27" spans="2:7" ht="12.75">
      <c r="B27" s="785" t="s">
        <v>291</v>
      </c>
      <c r="C27" s="786"/>
      <c r="D27" s="787"/>
      <c r="E27" s="49"/>
      <c r="F27" s="49"/>
      <c r="G27" s="49"/>
    </row>
    <row r="28" spans="2:7" ht="18.75" customHeight="1">
      <c r="B28" s="497" t="s">
        <v>283</v>
      </c>
      <c r="C28" s="498" t="s">
        <v>292</v>
      </c>
      <c r="D28" s="497" t="s">
        <v>293</v>
      </c>
      <c r="E28" s="49"/>
      <c r="F28" s="49"/>
      <c r="G28" s="49"/>
    </row>
    <row r="29" spans="2:7" ht="12.75">
      <c r="B29" s="388">
        <v>1</v>
      </c>
      <c r="C29" s="808">
        <v>0.7</v>
      </c>
      <c r="D29" s="799">
        <v>0.65</v>
      </c>
      <c r="E29" s="49"/>
      <c r="F29" s="49"/>
      <c r="G29" s="49"/>
    </row>
    <row r="30" spans="2:7" ht="12.75">
      <c r="B30" s="388">
        <v>2</v>
      </c>
      <c r="C30" s="809"/>
      <c r="D30" s="801"/>
      <c r="E30" s="49"/>
      <c r="F30" s="49"/>
      <c r="G30" s="49"/>
    </row>
    <row r="31" spans="2:7" ht="12.75">
      <c r="B31" s="388">
        <v>3</v>
      </c>
      <c r="C31" s="799">
        <v>0.65</v>
      </c>
      <c r="D31" s="801"/>
      <c r="E31" s="49"/>
      <c r="F31" s="49"/>
      <c r="G31" s="49"/>
    </row>
    <row r="32" spans="2:7" ht="12.75" customHeight="1">
      <c r="B32" s="388">
        <v>4</v>
      </c>
      <c r="C32" s="801"/>
      <c r="D32" s="801"/>
      <c r="E32" s="49"/>
      <c r="F32" s="49"/>
      <c r="G32" s="49"/>
    </row>
    <row r="33" spans="2:7" ht="12.75">
      <c r="B33" s="388">
        <v>5</v>
      </c>
      <c r="C33" s="800"/>
      <c r="D33" s="800"/>
      <c r="E33" s="49"/>
      <c r="F33" s="49"/>
      <c r="G33" s="49"/>
    </row>
    <row r="34" spans="2:7" ht="12.75">
      <c r="B34" s="798" t="s">
        <v>294</v>
      </c>
      <c r="C34" s="798"/>
      <c r="D34" s="798"/>
      <c r="E34" s="49"/>
      <c r="F34" s="49"/>
      <c r="G34" s="49"/>
    </row>
    <row r="35" spans="2:6" ht="12.75">
      <c r="B35" s="798"/>
      <c r="C35" s="798"/>
      <c r="D35" s="798"/>
      <c r="E35" s="49"/>
      <c r="F35" s="49"/>
    </row>
    <row r="36" ht="12.75" customHeight="1"/>
    <row r="38" ht="12.75" customHeight="1"/>
    <row r="39" ht="12.75" customHeight="1"/>
    <row r="40" ht="12.75" customHeight="1"/>
    <row r="43" ht="12.75" customHeight="1"/>
    <row r="44" ht="12.75" customHeight="1"/>
    <row r="45" ht="12.75" customHeight="1"/>
    <row r="47" ht="12.75" customHeight="1"/>
    <row r="48" ht="12.75" customHeight="1"/>
    <row r="50" ht="25.5" customHeight="1"/>
    <row r="53" spans="2:5" ht="14.25">
      <c r="B53" s="565">
        <v>51</v>
      </c>
      <c r="C53" s="567" t="s">
        <v>337</v>
      </c>
      <c r="D53" s="567" t="s">
        <v>341</v>
      </c>
      <c r="E53" s="566">
        <v>42944</v>
      </c>
    </row>
    <row r="54" spans="2:5" ht="14.25">
      <c r="B54" s="565">
        <v>52</v>
      </c>
      <c r="C54" s="567" t="s">
        <v>338</v>
      </c>
      <c r="D54" s="567" t="s">
        <v>342</v>
      </c>
      <c r="E54" s="566">
        <v>42944</v>
      </c>
    </row>
    <row r="55" spans="2:5" ht="15">
      <c r="B55" s="565">
        <v>53</v>
      </c>
      <c r="C55" s="567" t="s">
        <v>339</v>
      </c>
      <c r="D55" s="567" t="s">
        <v>343</v>
      </c>
      <c r="E55" s="566">
        <v>42944</v>
      </c>
    </row>
    <row r="56" ht="87" customHeight="1"/>
    <row r="58" ht="12.75" customHeight="1"/>
    <row r="60" ht="12.75" customHeight="1"/>
    <row r="61" ht="12">
      <c r="B61" s="533" t="s">
        <v>336</v>
      </c>
    </row>
    <row r="64" ht="12.75" customHeight="1"/>
    <row r="66" ht="12.75" customHeight="1"/>
    <row r="68" ht="25.5" customHeight="1"/>
    <row r="70" ht="12.75" customHeight="1"/>
    <row r="72" ht="12.75" customHeight="1">
      <c r="B72" t="s">
        <v>335</v>
      </c>
    </row>
    <row r="75" ht="25.5" customHeight="1"/>
    <row r="82" ht="12">
      <c r="A82" s="533" t="s">
        <v>333</v>
      </c>
    </row>
    <row r="84" spans="1:7" ht="15" thickBot="1">
      <c r="A84" s="535" t="s">
        <v>322</v>
      </c>
      <c r="B84" s="807" t="s">
        <v>61</v>
      </c>
      <c r="C84" s="807"/>
      <c r="D84" s="807"/>
      <c r="E84" s="807"/>
      <c r="F84" s="807"/>
      <c r="G84" s="807"/>
    </row>
    <row r="85" spans="1:7" ht="15" thickTop="1">
      <c r="A85" s="536" t="s">
        <v>323</v>
      </c>
      <c r="B85" s="537" t="s">
        <v>186</v>
      </c>
      <c r="C85" s="537">
        <v>1</v>
      </c>
      <c r="D85" s="537">
        <v>2</v>
      </c>
      <c r="E85" s="537">
        <v>3</v>
      </c>
      <c r="F85" s="537">
        <v>4</v>
      </c>
      <c r="G85" s="537" t="s">
        <v>187</v>
      </c>
    </row>
    <row r="86" spans="1:7" ht="15" thickBot="1">
      <c r="A86" s="536" t="s">
        <v>42</v>
      </c>
      <c r="B86" s="538">
        <v>0.0975</v>
      </c>
      <c r="C86" s="538">
        <v>0.1025</v>
      </c>
      <c r="D86" s="538">
        <v>0.1075</v>
      </c>
      <c r="E86" s="539">
        <v>0.11</v>
      </c>
      <c r="F86" s="538">
        <v>0.115</v>
      </c>
      <c r="G86" s="538">
        <v>0.1175</v>
      </c>
    </row>
    <row r="87" spans="1:7" ht="29.25" thickTop="1">
      <c r="A87" s="536" t="s">
        <v>324</v>
      </c>
      <c r="B87" s="540">
        <v>8.48</v>
      </c>
      <c r="C87" s="540">
        <v>8.85</v>
      </c>
      <c r="D87" s="540">
        <v>9.27</v>
      </c>
      <c r="E87" s="541">
        <v>9.5</v>
      </c>
      <c r="F87" s="540">
        <v>9.95</v>
      </c>
      <c r="G87" s="540">
        <v>10.15</v>
      </c>
    </row>
    <row r="88" spans="1:7" ht="28.5">
      <c r="A88" s="536" t="s">
        <v>325</v>
      </c>
      <c r="B88" s="542">
        <v>9.58</v>
      </c>
      <c r="C88" s="542">
        <v>9.84</v>
      </c>
      <c r="D88" s="542">
        <v>10.14</v>
      </c>
      <c r="E88" s="541">
        <v>10.51</v>
      </c>
      <c r="F88" s="541">
        <v>10.69</v>
      </c>
      <c r="G88" s="542">
        <v>10.98</v>
      </c>
    </row>
    <row r="89" spans="1:7" ht="29.25" thickBot="1">
      <c r="A89" s="536" t="s">
        <v>326</v>
      </c>
      <c r="B89" s="543">
        <v>12.06</v>
      </c>
      <c r="C89" s="543">
        <v>12.32</v>
      </c>
      <c r="D89" s="543">
        <v>12.63</v>
      </c>
      <c r="E89" s="544">
        <v>12.98</v>
      </c>
      <c r="F89" s="544">
        <v>13.2</v>
      </c>
      <c r="G89" s="543">
        <v>13.46</v>
      </c>
    </row>
    <row r="90" spans="1:7" ht="29.25" thickTop="1">
      <c r="A90" s="536" t="s">
        <v>327</v>
      </c>
      <c r="B90" s="545">
        <v>2.7</v>
      </c>
      <c r="C90" s="545">
        <v>2.7</v>
      </c>
      <c r="D90" s="545">
        <v>2.6</v>
      </c>
      <c r="E90" s="545">
        <v>2.1</v>
      </c>
      <c r="F90" s="545">
        <v>2.1</v>
      </c>
      <c r="G90" s="545">
        <v>1.7</v>
      </c>
    </row>
    <row r="92" ht="12">
      <c r="A92" t="s">
        <v>334</v>
      </c>
    </row>
    <row r="93" spans="1:5" ht="15" thickBot="1">
      <c r="A93" s="546" t="s">
        <v>36</v>
      </c>
      <c r="B93" s="534" t="s">
        <v>45</v>
      </c>
      <c r="C93" s="534" t="s">
        <v>32</v>
      </c>
      <c r="D93" s="534" t="s">
        <v>33</v>
      </c>
      <c r="E93" s="534" t="s">
        <v>34</v>
      </c>
    </row>
    <row r="94" spans="1:6" ht="15" thickTop="1">
      <c r="A94" s="547">
        <v>1</v>
      </c>
      <c r="B94" s="548">
        <v>0.103</v>
      </c>
      <c r="C94" s="548">
        <v>0.104</v>
      </c>
      <c r="D94" s="549">
        <v>0.106</v>
      </c>
      <c r="E94" s="550">
        <v>0.1075</v>
      </c>
      <c r="F94" s="564"/>
    </row>
    <row r="95" spans="1:6" ht="14.25">
      <c r="A95" s="536">
        <v>2</v>
      </c>
      <c r="B95" s="551">
        <v>0.101</v>
      </c>
      <c r="C95" s="551">
        <v>0.102</v>
      </c>
      <c r="D95" s="552" t="s">
        <v>329</v>
      </c>
      <c r="E95" s="553">
        <v>0.1055</v>
      </c>
      <c r="F95" s="564"/>
    </row>
    <row r="96" spans="1:6" ht="14.25">
      <c r="A96" s="536">
        <v>3</v>
      </c>
      <c r="B96" s="554">
        <v>0.099</v>
      </c>
      <c r="C96" s="554">
        <v>0.1</v>
      </c>
      <c r="D96" s="555" t="s">
        <v>330</v>
      </c>
      <c r="E96" s="553">
        <v>0.1035</v>
      </c>
      <c r="F96" s="564"/>
    </row>
    <row r="97" spans="1:6" ht="14.25">
      <c r="A97" s="536">
        <v>4</v>
      </c>
      <c r="B97" s="551">
        <v>0.097</v>
      </c>
      <c r="C97" s="551">
        <v>0.098</v>
      </c>
      <c r="D97" s="552" t="s">
        <v>331</v>
      </c>
      <c r="E97" s="553">
        <v>0.10149999999999999</v>
      </c>
      <c r="F97" s="564"/>
    </row>
    <row r="98" spans="1:6" ht="15" thickBot="1">
      <c r="A98" s="556">
        <v>5</v>
      </c>
      <c r="B98" s="557">
        <v>0.0955</v>
      </c>
      <c r="C98" s="557">
        <v>0.0965</v>
      </c>
      <c r="D98" s="558" t="s">
        <v>332</v>
      </c>
      <c r="E98" s="559">
        <v>0.09999999999999999</v>
      </c>
      <c r="F98" s="564"/>
    </row>
    <row r="99" spans="1:6" ht="29.25" thickTop="1">
      <c r="A99" s="560" t="s">
        <v>328</v>
      </c>
      <c r="B99" s="561">
        <v>16.84</v>
      </c>
      <c r="C99" s="561">
        <v>13.53</v>
      </c>
      <c r="D99" s="552">
        <v>11.22</v>
      </c>
      <c r="E99" s="541">
        <v>10.26</v>
      </c>
      <c r="F99">
        <v>10.26</v>
      </c>
    </row>
    <row r="104" ht="12">
      <c r="A104" s="627" t="s">
        <v>378</v>
      </c>
    </row>
    <row r="105" ht="12.75" thickBot="1"/>
    <row r="106" spans="1:8" ht="12.75" thickBot="1">
      <c r="A106" s="615" t="s">
        <v>346</v>
      </c>
      <c r="B106" s="814" t="s">
        <v>348</v>
      </c>
      <c r="C106" s="815"/>
      <c r="D106" s="804" t="s">
        <v>349</v>
      </c>
      <c r="E106" s="802" t="s">
        <v>350</v>
      </c>
      <c r="F106" s="803"/>
      <c r="G106" s="802" t="s">
        <v>351</v>
      </c>
      <c r="H106" s="803"/>
    </row>
    <row r="107" spans="1:8" ht="23.25" thickBot="1">
      <c r="A107" s="616" t="s">
        <v>347</v>
      </c>
      <c r="B107" s="816"/>
      <c r="C107" s="817"/>
      <c r="D107" s="806"/>
      <c r="E107" s="617" t="s">
        <v>260</v>
      </c>
      <c r="F107" s="617" t="s">
        <v>352</v>
      </c>
      <c r="G107" s="802"/>
      <c r="H107" s="803"/>
    </row>
    <row r="108" spans="1:8" ht="12">
      <c r="A108" s="618" t="s">
        <v>353</v>
      </c>
      <c r="B108" s="615" t="s">
        <v>357</v>
      </c>
      <c r="C108" s="615" t="s">
        <v>360</v>
      </c>
      <c r="D108" s="618"/>
      <c r="E108" s="618"/>
      <c r="F108" s="628"/>
      <c r="G108" s="804" t="s">
        <v>372</v>
      </c>
      <c r="H108" s="804" t="s">
        <v>373</v>
      </c>
    </row>
    <row r="109" spans="1:8" ht="22.5">
      <c r="A109" s="619" t="s">
        <v>354</v>
      </c>
      <c r="B109" s="624" t="s">
        <v>358</v>
      </c>
      <c r="C109" s="624" t="s">
        <v>361</v>
      </c>
      <c r="D109" s="621"/>
      <c r="E109" s="621"/>
      <c r="F109" s="629"/>
      <c r="G109" s="805"/>
      <c r="H109" s="805"/>
    </row>
    <row r="110" spans="1:8" ht="12">
      <c r="A110" s="620"/>
      <c r="B110" s="624" t="s">
        <v>359</v>
      </c>
      <c r="C110" s="624" t="s">
        <v>362</v>
      </c>
      <c r="D110" s="621" t="s">
        <v>363</v>
      </c>
      <c r="E110" s="621" t="s">
        <v>367</v>
      </c>
      <c r="F110" s="629" t="s">
        <v>353</v>
      </c>
      <c r="G110" s="805"/>
      <c r="H110" s="805"/>
    </row>
    <row r="111" spans="1:8" ht="22.5">
      <c r="A111" s="621" t="s">
        <v>355</v>
      </c>
      <c r="B111" s="625"/>
      <c r="C111" s="625"/>
      <c r="D111" s="619" t="s">
        <v>364</v>
      </c>
      <c r="E111" s="619" t="s">
        <v>368</v>
      </c>
      <c r="F111" s="629" t="s">
        <v>370</v>
      </c>
      <c r="G111" s="805"/>
      <c r="H111" s="805"/>
    </row>
    <row r="112" spans="1:8" ht="22.5">
      <c r="A112" s="619" t="s">
        <v>356</v>
      </c>
      <c r="B112" s="625"/>
      <c r="C112" s="625"/>
      <c r="D112" s="620"/>
      <c r="E112" s="620"/>
      <c r="F112" s="629"/>
      <c r="G112" s="805"/>
      <c r="H112" s="805"/>
    </row>
    <row r="113" spans="1:8" ht="34.5" thickBot="1">
      <c r="A113" s="622"/>
      <c r="B113" s="626"/>
      <c r="C113" s="626"/>
      <c r="D113" s="621" t="s">
        <v>365</v>
      </c>
      <c r="E113" s="621" t="s">
        <v>369</v>
      </c>
      <c r="F113" s="629" t="s">
        <v>355</v>
      </c>
      <c r="G113" s="806"/>
      <c r="H113" s="806"/>
    </row>
    <row r="114" spans="1:8" ht="22.5">
      <c r="A114" s="622"/>
      <c r="B114" s="618" t="s">
        <v>353</v>
      </c>
      <c r="C114" s="618" t="s">
        <v>367</v>
      </c>
      <c r="D114" s="619" t="s">
        <v>366</v>
      </c>
      <c r="E114" s="622"/>
      <c r="F114" s="629" t="s">
        <v>371</v>
      </c>
      <c r="G114" s="618" t="s">
        <v>353</v>
      </c>
      <c r="H114" s="618" t="s">
        <v>367</v>
      </c>
    </row>
    <row r="115" spans="1:8" ht="22.5">
      <c r="A115" s="622"/>
      <c r="B115" s="619" t="s">
        <v>374</v>
      </c>
      <c r="C115" s="619" t="s">
        <v>376</v>
      </c>
      <c r="D115" s="622"/>
      <c r="E115" s="622"/>
      <c r="F115" s="630"/>
      <c r="G115" s="633">
        <v>150000</v>
      </c>
      <c r="H115" s="633">
        <v>250000</v>
      </c>
    </row>
    <row r="116" spans="1:8" ht="12">
      <c r="A116" s="622"/>
      <c r="B116" s="620"/>
      <c r="C116" s="620"/>
      <c r="D116" s="622"/>
      <c r="E116" s="622"/>
      <c r="F116" s="630"/>
      <c r="G116" s="620"/>
      <c r="H116" s="620"/>
    </row>
    <row r="117" spans="1:8" ht="22.5">
      <c r="A117" s="622"/>
      <c r="B117" s="621" t="s">
        <v>365</v>
      </c>
      <c r="C117" s="621" t="s">
        <v>355</v>
      </c>
      <c r="D117" s="622"/>
      <c r="E117" s="622"/>
      <c r="F117" s="630"/>
      <c r="G117" s="621" t="s">
        <v>377</v>
      </c>
      <c r="H117" s="621" t="s">
        <v>377</v>
      </c>
    </row>
    <row r="118" spans="1:8" ht="23.25" thickBot="1">
      <c r="A118" s="623"/>
      <c r="B118" s="632" t="s">
        <v>375</v>
      </c>
      <c r="C118" s="632" t="s">
        <v>356</v>
      </c>
      <c r="D118" s="623"/>
      <c r="E118" s="623"/>
      <c r="F118" s="631"/>
      <c r="G118" s="623"/>
      <c r="H118" s="623"/>
    </row>
    <row r="121" spans="1:4" ht="12">
      <c r="A121" s="812" t="s">
        <v>379</v>
      </c>
      <c r="B121" s="813"/>
      <c r="C121" s="813"/>
      <c r="D121" s="813"/>
    </row>
    <row r="122" spans="1:4" ht="12">
      <c r="A122" s="810"/>
      <c r="B122" s="810"/>
      <c r="C122" s="810"/>
      <c r="D122" s="810"/>
    </row>
    <row r="123" spans="1:4" ht="12.75" thickBot="1">
      <c r="A123" s="811"/>
      <c r="B123" s="811"/>
      <c r="C123" s="811"/>
      <c r="D123" s="811"/>
    </row>
    <row r="124" spans="1:4" ht="12.75" thickBot="1">
      <c r="A124" s="802" t="s">
        <v>380</v>
      </c>
      <c r="B124" s="825"/>
      <c r="C124" s="825"/>
      <c r="D124" s="803"/>
    </row>
    <row r="125" spans="1:4" ht="22.5">
      <c r="A125" s="615" t="s">
        <v>357</v>
      </c>
      <c r="B125" s="615" t="s">
        <v>382</v>
      </c>
      <c r="C125" s="615" t="s">
        <v>349</v>
      </c>
      <c r="D125" s="804" t="s">
        <v>386</v>
      </c>
    </row>
    <row r="126" spans="1:4" ht="45.75">
      <c r="A126" s="624" t="s">
        <v>381</v>
      </c>
      <c r="B126" s="624" t="s">
        <v>347</v>
      </c>
      <c r="C126" s="624" t="s">
        <v>384</v>
      </c>
      <c r="D126" s="805"/>
    </row>
    <row r="127" spans="1:4" ht="23.25" thickBot="1">
      <c r="A127" s="626"/>
      <c r="B127" s="616" t="s">
        <v>383</v>
      </c>
      <c r="C127" s="616" t="s">
        <v>385</v>
      </c>
      <c r="D127" s="806"/>
    </row>
    <row r="128" spans="1:4" ht="12">
      <c r="A128" s="634"/>
      <c r="B128" s="634"/>
      <c r="C128" s="634"/>
      <c r="D128" s="826" t="s">
        <v>394</v>
      </c>
    </row>
    <row r="129" spans="1:4" ht="22.5">
      <c r="A129" s="621" t="s">
        <v>387</v>
      </c>
      <c r="B129" s="619" t="s">
        <v>391</v>
      </c>
      <c r="C129" s="621" t="s">
        <v>387</v>
      </c>
      <c r="D129" s="827"/>
    </row>
    <row r="130" spans="1:4" ht="22.5">
      <c r="A130" s="619" t="s">
        <v>388</v>
      </c>
      <c r="B130" s="622"/>
      <c r="C130" s="619" t="s">
        <v>392</v>
      </c>
      <c r="D130" s="827"/>
    </row>
    <row r="131" spans="1:4" ht="12">
      <c r="A131" s="620"/>
      <c r="B131" s="622"/>
      <c r="C131" s="620"/>
      <c r="D131" s="827"/>
    </row>
    <row r="132" spans="1:4" ht="22.5">
      <c r="A132" s="621" t="s">
        <v>389</v>
      </c>
      <c r="B132" s="622"/>
      <c r="C132" s="621" t="s">
        <v>389</v>
      </c>
      <c r="D132" s="827"/>
    </row>
    <row r="133" spans="1:4" ht="23.25" thickBot="1">
      <c r="A133" s="632" t="s">
        <v>390</v>
      </c>
      <c r="B133" s="623"/>
      <c r="C133" s="632" t="s">
        <v>393</v>
      </c>
      <c r="D133" s="828"/>
    </row>
    <row r="136" spans="1:4" ht="12">
      <c r="A136" s="812" t="s">
        <v>395</v>
      </c>
      <c r="B136" s="813"/>
      <c r="C136" s="813"/>
      <c r="D136" s="813"/>
    </row>
    <row r="137" spans="1:4" ht="12">
      <c r="A137" s="835"/>
      <c r="B137" s="835"/>
      <c r="C137" s="835"/>
      <c r="D137" s="835"/>
    </row>
    <row r="138" spans="1:4" ht="36" customHeight="1">
      <c r="A138" s="836" t="s">
        <v>396</v>
      </c>
      <c r="B138" s="836"/>
      <c r="C138" s="836"/>
      <c r="D138" s="836"/>
    </row>
    <row r="139" spans="1:4" ht="12.75" thickBot="1">
      <c r="A139" s="811"/>
      <c r="B139" s="811"/>
      <c r="C139" s="811"/>
      <c r="D139" s="811"/>
    </row>
    <row r="140" spans="1:4" ht="23.25" thickBot="1">
      <c r="A140" s="635" t="s">
        <v>247</v>
      </c>
      <c r="B140" s="617" t="s">
        <v>397</v>
      </c>
      <c r="C140" s="617" t="s">
        <v>398</v>
      </c>
      <c r="D140" s="617" t="s">
        <v>399</v>
      </c>
    </row>
    <row r="141" spans="1:4" ht="12.75" thickBot="1">
      <c r="A141" s="636" t="s">
        <v>400</v>
      </c>
      <c r="B141" s="617" t="s">
        <v>401</v>
      </c>
      <c r="C141" s="638" t="s">
        <v>402</v>
      </c>
      <c r="D141" s="639">
        <v>0</v>
      </c>
    </row>
    <row r="142" spans="1:4" ht="23.25" thickBot="1">
      <c r="A142" s="637" t="s">
        <v>71</v>
      </c>
      <c r="B142" s="617" t="s">
        <v>403</v>
      </c>
      <c r="C142" s="639">
        <v>0</v>
      </c>
      <c r="D142" s="638" t="s">
        <v>404</v>
      </c>
    </row>
    <row r="143" spans="1:4" ht="23.25" thickBot="1">
      <c r="A143" s="635" t="s">
        <v>405</v>
      </c>
      <c r="B143" s="617" t="s">
        <v>401</v>
      </c>
      <c r="C143" s="638" t="s">
        <v>402</v>
      </c>
      <c r="D143" s="638" t="s">
        <v>406</v>
      </c>
    </row>
    <row r="145" spans="1:6" ht="12.75" thickBot="1">
      <c r="A145" s="824" t="s">
        <v>407</v>
      </c>
      <c r="B145" s="824"/>
      <c r="C145" s="824"/>
      <c r="D145" s="824"/>
      <c r="E145" s="824"/>
      <c r="F145" s="824"/>
    </row>
    <row r="146" spans="1:6" ht="42">
      <c r="A146" s="818" t="s">
        <v>426</v>
      </c>
      <c r="B146" s="642" t="s">
        <v>408</v>
      </c>
      <c r="C146" s="642" t="s">
        <v>349</v>
      </c>
      <c r="D146" s="642" t="s">
        <v>383</v>
      </c>
      <c r="E146" s="821" t="s">
        <v>412</v>
      </c>
      <c r="F146" s="642" t="s">
        <v>413</v>
      </c>
    </row>
    <row r="147" spans="1:6" ht="21">
      <c r="A147" s="819"/>
      <c r="B147" s="643" t="s">
        <v>350</v>
      </c>
      <c r="C147" s="643" t="s">
        <v>347</v>
      </c>
      <c r="D147" s="643" t="s">
        <v>357</v>
      </c>
      <c r="E147" s="822"/>
      <c r="F147" s="643" t="s">
        <v>414</v>
      </c>
    </row>
    <row r="148" spans="1:6" ht="21">
      <c r="A148" s="819"/>
      <c r="B148" s="644"/>
      <c r="C148" s="643" t="s">
        <v>409</v>
      </c>
      <c r="D148" s="643" t="s">
        <v>410</v>
      </c>
      <c r="E148" s="822"/>
      <c r="F148" s="645"/>
    </row>
    <row r="149" spans="1:6" ht="12">
      <c r="A149" s="819"/>
      <c r="B149" s="644"/>
      <c r="C149" s="644"/>
      <c r="D149" s="643" t="s">
        <v>358</v>
      </c>
      <c r="E149" s="822"/>
      <c r="F149" s="645"/>
    </row>
    <row r="150" spans="1:6" ht="12">
      <c r="A150" s="819"/>
      <c r="B150" s="644"/>
      <c r="C150" s="644"/>
      <c r="D150" s="643" t="s">
        <v>411</v>
      </c>
      <c r="E150" s="822"/>
      <c r="F150" s="645"/>
    </row>
    <row r="151" spans="1:6" ht="12.75" thickBot="1">
      <c r="A151" s="820"/>
      <c r="B151" s="646"/>
      <c r="C151" s="646"/>
      <c r="D151" s="647" t="s">
        <v>67</v>
      </c>
      <c r="E151" s="823"/>
      <c r="F151" s="648"/>
    </row>
    <row r="152" spans="1:6" ht="12">
      <c r="A152" s="837" t="s">
        <v>15</v>
      </c>
      <c r="B152" s="839">
        <v>0.0125</v>
      </c>
      <c r="C152" s="826" t="s">
        <v>415</v>
      </c>
      <c r="D152" s="839">
        <v>0.0075</v>
      </c>
      <c r="E152" s="826" t="s">
        <v>416</v>
      </c>
      <c r="F152" s="640">
        <v>0.015</v>
      </c>
    </row>
    <row r="153" spans="1:6" ht="34.5" thickBot="1">
      <c r="A153" s="838"/>
      <c r="B153" s="840"/>
      <c r="C153" s="828"/>
      <c r="D153" s="840"/>
      <c r="E153" s="828"/>
      <c r="F153" s="641" t="s">
        <v>417</v>
      </c>
    </row>
    <row r="154" spans="1:6" ht="12">
      <c r="A154" s="837" t="s">
        <v>418</v>
      </c>
      <c r="B154" s="842" t="s">
        <v>419</v>
      </c>
      <c r="C154" s="843"/>
      <c r="D154" s="843"/>
      <c r="E154" s="843"/>
      <c r="F154" s="844"/>
    </row>
    <row r="155" spans="1:6" ht="12">
      <c r="A155" s="841"/>
      <c r="B155" s="845"/>
      <c r="C155" s="846"/>
      <c r="D155" s="846"/>
      <c r="E155" s="846"/>
      <c r="F155" s="847"/>
    </row>
    <row r="156" spans="1:6" ht="12">
      <c r="A156" s="841"/>
      <c r="B156" s="848" t="s">
        <v>420</v>
      </c>
      <c r="C156" s="849"/>
      <c r="D156" s="849"/>
      <c r="E156" s="849"/>
      <c r="F156" s="850"/>
    </row>
    <row r="157" spans="1:6" ht="12">
      <c r="A157" s="841"/>
      <c r="B157" s="829" t="s">
        <v>421</v>
      </c>
      <c r="C157" s="830"/>
      <c r="D157" s="830"/>
      <c r="E157" s="830"/>
      <c r="F157" s="831"/>
    </row>
    <row r="158" spans="1:6" ht="12">
      <c r="A158" s="841"/>
      <c r="B158" s="829" t="s">
        <v>422</v>
      </c>
      <c r="C158" s="830"/>
      <c r="D158" s="830"/>
      <c r="E158" s="830"/>
      <c r="F158" s="831"/>
    </row>
    <row r="159" spans="1:6" ht="12">
      <c r="A159" s="841"/>
      <c r="B159" s="829" t="s">
        <v>423</v>
      </c>
      <c r="C159" s="830"/>
      <c r="D159" s="830"/>
      <c r="E159" s="830"/>
      <c r="F159" s="831"/>
    </row>
    <row r="160" spans="1:6" ht="48" customHeight="1">
      <c r="A160" s="841"/>
      <c r="B160" s="829" t="s">
        <v>424</v>
      </c>
      <c r="C160" s="830"/>
      <c r="D160" s="830"/>
      <c r="E160" s="830"/>
      <c r="F160" s="831"/>
    </row>
    <row r="161" spans="1:6" ht="24" customHeight="1" thickBot="1">
      <c r="A161" s="838"/>
      <c r="B161" s="832" t="s">
        <v>425</v>
      </c>
      <c r="C161" s="833"/>
      <c r="D161" s="833"/>
      <c r="E161" s="833"/>
      <c r="F161" s="834"/>
    </row>
    <row r="163" ht="12">
      <c r="A163" s="627" t="s">
        <v>427</v>
      </c>
    </row>
    <row r="164" ht="12">
      <c r="A164" s="649" t="s">
        <v>428</v>
      </c>
    </row>
    <row r="165" ht="12">
      <c r="A165" s="650" t="s">
        <v>429</v>
      </c>
    </row>
    <row r="166" ht="12">
      <c r="A166" s="650" t="s">
        <v>430</v>
      </c>
    </row>
    <row r="167" ht="12">
      <c r="A167" s="650" t="s">
        <v>431</v>
      </c>
    </row>
    <row r="168" ht="12">
      <c r="A168" s="649" t="s">
        <v>432</v>
      </c>
    </row>
    <row r="169" ht="12">
      <c r="A169" s="650" t="s">
        <v>433</v>
      </c>
    </row>
    <row r="170" ht="12">
      <c r="A170" s="650" t="s">
        <v>434</v>
      </c>
    </row>
    <row r="171" ht="12">
      <c r="A171" s="650" t="s">
        <v>435</v>
      </c>
    </row>
    <row r="172" ht="12">
      <c r="A172" s="651" t="s">
        <v>436</v>
      </c>
    </row>
    <row r="174" ht="12.75">
      <c r="A174" s="652" t="s">
        <v>437</v>
      </c>
    </row>
    <row r="175" ht="12">
      <c r="A175" s="627" t="s">
        <v>438</v>
      </c>
    </row>
    <row r="176" ht="6.75" customHeight="1">
      <c r="A176" s="653"/>
    </row>
    <row r="177" spans="1:6" ht="30" customHeight="1">
      <c r="A177" s="836" t="s">
        <v>439</v>
      </c>
      <c r="B177" s="836"/>
      <c r="C177" s="836"/>
      <c r="D177" s="836"/>
      <c r="E177" s="836"/>
      <c r="F177" s="836"/>
    </row>
  </sheetData>
  <sheetProtection password="FBFD" sheet="1" objects="1" scenarios="1"/>
  <mergeCells count="63">
    <mergeCell ref="A177:F177"/>
    <mergeCell ref="A152:A153"/>
    <mergeCell ref="B152:B153"/>
    <mergeCell ref="C152:C153"/>
    <mergeCell ref="D152:D153"/>
    <mergeCell ref="E152:E153"/>
    <mergeCell ref="A154:A161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A137:D137"/>
    <mergeCell ref="A138:D138"/>
    <mergeCell ref="A139:D139"/>
    <mergeCell ref="A136:D136"/>
    <mergeCell ref="A146:A151"/>
    <mergeCell ref="E146:E151"/>
    <mergeCell ref="A145:F145"/>
    <mergeCell ref="A124:D124"/>
    <mergeCell ref="D125:D127"/>
    <mergeCell ref="D128:D133"/>
    <mergeCell ref="A122:D122"/>
    <mergeCell ref="A123:D123"/>
    <mergeCell ref="A121:D121"/>
    <mergeCell ref="B106:C107"/>
    <mergeCell ref="D106:D107"/>
    <mergeCell ref="E106:F106"/>
    <mergeCell ref="G106:H106"/>
    <mergeCell ref="G107:H107"/>
    <mergeCell ref="G108:G113"/>
    <mergeCell ref="H108:H113"/>
    <mergeCell ref="B84:G84"/>
    <mergeCell ref="B27:D27"/>
    <mergeCell ref="C29:C30"/>
    <mergeCell ref="C31:C33"/>
    <mergeCell ref="B34:D34"/>
    <mergeCell ref="B19:E19"/>
    <mergeCell ref="C21:C22"/>
    <mergeCell ref="D21:D22"/>
    <mergeCell ref="B35:D35"/>
    <mergeCell ref="E23:E24"/>
    <mergeCell ref="D29:D33"/>
    <mergeCell ref="E21:E22"/>
    <mergeCell ref="H5:H7"/>
    <mergeCell ref="G5:G7"/>
    <mergeCell ref="B16:F16"/>
    <mergeCell ref="B5:E5"/>
    <mergeCell ref="F5:F7"/>
    <mergeCell ref="D6:D7"/>
    <mergeCell ref="A4:A7"/>
    <mergeCell ref="B9:B10"/>
    <mergeCell ref="B1:E1"/>
    <mergeCell ref="D8:D9"/>
    <mergeCell ref="A3:H3"/>
    <mergeCell ref="B4:H4"/>
    <mergeCell ref="F8:F12"/>
    <mergeCell ref="H8:H12"/>
    <mergeCell ref="G10:G12"/>
    <mergeCell ref="G8:G9"/>
  </mergeCells>
  <hyperlinks>
    <hyperlink ref="J1" r:id="rId1" display="http://mxmtyipr1as2029:90/intranet/normatividad/Manuales%20Publicados/92EF8FF4A3C8837A8625798F005DF729.aspx"/>
    <hyperlink ref="J2" r:id="rId2" display="http://mxmtyipr1as2029:90/intranet/Normatividad/Manuales Publicados/6AB4504387D0D23706256E15006521C0.aspx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Simulador para el Interior</dc:title>
  <dc:subject>Financiamiento Hogares Residencial</dc:subject>
  <dc:creator>CREDITO HIPOTECARIO</dc:creator>
  <cp:keywords/>
  <dc:description/>
  <cp:lastModifiedBy>Administrator</cp:lastModifiedBy>
  <cp:lastPrinted>2020-09-15T01:32:16Z</cp:lastPrinted>
  <dcterms:created xsi:type="dcterms:W3CDTF">2000-04-10T23:53:39Z</dcterms:created>
  <dcterms:modified xsi:type="dcterms:W3CDTF">2021-02-08T08:29:35Z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138021524</vt:i4>
  </property>
  <property fmtid="{D5CDD505-2E9C-101B-9397-08002B2CF9AE}" pid="3" name="_ReviewCycleID">
    <vt:i4>138021524</vt:i4>
  </property>
  <property fmtid="{D5CDD505-2E9C-101B-9397-08002B2CF9AE}" pid="4" name="_NewReviewCycle">
    <vt:lpwstr/>
  </property>
  <property fmtid="{D5CDD505-2E9C-101B-9397-08002B2CF9AE}" pid="5" name="_EmailEntryID">
    <vt:lpwstr>000000006362DDD5646E284D9FFCC7D924724FDE070033985AFC80806641BAB51AD79EEA0C85000000046D080000FF1CC8D9CE1ED940A42F0687D3DF3473000211D5E6F50000</vt:lpwstr>
  </property>
  <property fmtid="{D5CDD505-2E9C-101B-9397-08002B2CF9AE}" pid="6" name="_EmailStoreID">
    <vt:lpwstr>0000000038A1BB1005E5101AA1BB08002B2A56C200006D737073742E646C6C00000000004E495441F9BFB80100AA0037D96E0000000044003A005C00450058004300480041004E00470045005C0068007400650072007200650072006F0073002E007000730074000000</vt:lpwstr>
  </property>
  <property fmtid="{D5CDD505-2E9C-101B-9397-08002B2CF9AE}" pid="7" name="_EmailStoreID0">
    <vt:lpwstr>0000000038A1BB1005E5101AA1BB08002B2A56C20000454D534D44422E444C4C00000000000000001B55FA20AA6611CD9BC800AA002FC45A0C0000004D4C554E41414073636F74696162616E6B2E636F6D2E6D78002F6F3D45786368616E67654C6162732F6F753D45786368616E67652041646D696E6973747261746976652</vt:lpwstr>
  </property>
  <property fmtid="{D5CDD505-2E9C-101B-9397-08002B2CF9AE}" pid="8" name="_EmailStoreID1">
    <vt:lpwstr>047726F7570202846594449424F484632335350444C54292F636E3D526563697069656E74732F636E3D37333939303532613933323734343832396635386637313161333464306566302D733539333230343000E94632F44400000002000000100000004D004C0055004E00410041004000730063006F007400690061006200</vt:lpwstr>
  </property>
  <property fmtid="{D5CDD505-2E9C-101B-9397-08002B2CF9AE}" pid="9" name="_EmailStoreID2">
    <vt:lpwstr>61006E006B002E0063006F006D002E006D00780000000000</vt:lpwstr>
  </property>
</Properties>
</file>